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RKeAQldCFsWssu6VP1WMK6R/qSStdvG4MYnngIDm6uSP02c/WhrtB901z7u9zYRKtBtG/Hz+lwYgm58glEJSJw==" workbookSaltValue="0w69+wzAKE4XEXtZseimQ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13" i="7"/>
  <c r="AB19" i="19"/>
  <c r="E18" i="12"/>
  <c r="ER19" i="8"/>
  <c r="EQ19" i="8"/>
  <c r="BA13" i="16"/>
  <c r="AC17" i="11"/>
  <c r="G18" i="12"/>
  <c r="W19" i="13"/>
  <c r="AL13" i="16"/>
  <c r="S13" i="16"/>
  <c r="P13" i="16"/>
  <c r="AN13" i="20"/>
  <c r="AN17" i="11"/>
  <c r="T19" i="8"/>
  <c r="T13" i="12"/>
  <c r="BG12" i="8"/>
  <c r="I19" i="8"/>
  <c r="E13" i="17"/>
  <c r="T13" i="20"/>
  <c r="T13" i="16"/>
  <c r="AP13" i="16"/>
  <c r="T18" i="17"/>
  <c r="J20" i="20"/>
  <c r="AF20" i="20"/>
  <c r="M20" i="20"/>
  <c r="AG20" i="20"/>
  <c r="S20" i="20"/>
  <c r="K20" i="20"/>
  <c r="Z20" i="20"/>
  <c r="AM20" i="20"/>
  <c r="AK20" i="20"/>
  <c r="W20" i="21"/>
  <c r="F20" i="20"/>
  <c r="AH19" i="8" l="1"/>
  <c r="AR18" i="11"/>
  <c r="D17" i="6"/>
  <c r="G17" i="3"/>
  <c r="D18" i="12"/>
  <c r="C19" i="3"/>
  <c r="C13" i="7"/>
  <c r="I10" i="3"/>
  <c r="BF9" i="8"/>
  <c r="H13" i="12"/>
  <c r="BD15" i="13"/>
  <c r="BA13" i="8"/>
  <c r="BF12" i="8"/>
  <c r="AY13" i="8"/>
  <c r="BG9" i="8"/>
  <c r="K9" i="7" s="1"/>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K9" i="12"/>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BW21" i="20" l="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T20" i="16"/>
  <c r="AS20" i="16"/>
  <c r="E20" i="21"/>
  <c r="BE20" i="21"/>
  <c r="AL20" i="11"/>
  <c r="W20" i="17"/>
  <c r="T20" i="11"/>
  <c r="AF20" i="21"/>
  <c r="M20" i="11"/>
  <c r="AL20" i="16"/>
  <c r="AF20" i="16"/>
  <c r="AT20" i="20"/>
  <c r="BE20" i="16"/>
  <c r="H20" i="21"/>
  <c r="AY20" i="16"/>
  <c r="J20" i="16"/>
  <c r="AC20" i="16"/>
  <c r="X20" i="21"/>
  <c r="P20" i="16"/>
  <c r="S20" i="11"/>
  <c r="AG20" i="16"/>
  <c r="I20" i="11"/>
  <c r="BJ20" i="16"/>
  <c r="BS20" i="16"/>
  <c r="AQ20" i="16"/>
  <c r="BM20" i="16"/>
  <c r="U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D20" i="12"/>
  <c r="AG20" i="21"/>
  <c r="I20" i="12"/>
  <c r="AD20" i="11"/>
  <c r="AT20" i="16"/>
  <c r="AF20" i="17"/>
  <c r="S20" i="21"/>
  <c r="K20" i="17"/>
  <c r="AU20" i="16"/>
  <c r="J20" i="17"/>
  <c r="AI20" i="16"/>
  <c r="Q20" i="21"/>
  <c r="AG20" i="11"/>
  <c r="AR20" i="11"/>
  <c r="R20" i="21"/>
  <c r="AY20" i="21"/>
  <c r="R20" i="11"/>
  <c r="V20" i="16"/>
  <c r="Q20" i="17"/>
  <c r="AI20" i="11"/>
  <c r="AZ20" i="16"/>
  <c r="J20" i="11"/>
  <c r="AS20" i="17"/>
  <c r="BH20" i="16"/>
  <c r="BK20" i="16"/>
  <c r="O20" i="11"/>
  <c r="AW20" i="16"/>
  <c r="AO20" i="21"/>
  <c r="AL20" i="17"/>
  <c r="O20" i="17"/>
  <c r="AN20" i="11"/>
  <c r="Z20" i="17"/>
  <c r="AW20" i="21"/>
  <c r="M20" i="17"/>
  <c r="AN20" i="16"/>
  <c r="AJ20" i="21"/>
  <c r="AI20" i="21"/>
  <c r="F20" i="12"/>
  <c r="H20" i="11"/>
  <c r="V20" i="17"/>
  <c r="AD20" i="16"/>
  <c r="BN20" i="16"/>
  <c r="AJ20" i="11"/>
  <c r="AM20" i="17"/>
  <c r="AQ20" i="11" l="1"/>
  <c r="AP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<sst xmlns="http://schemas.openxmlformats.org/spreadsheetml/2006/main" count="2080" uniqueCount="914">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</sst>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SCgetYvs9yZU8aHEpEkHfTpCUhCMHYe93apcDihoUB6oKK+AH7IXrwpuZNaS0fK25kGegLFHx6drqi91dF3g==" saltValue="ssSCzAPQxb25tQCN3/yB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10.320275154482919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54</v>
      </c>
      <c r="E10" s="229">
        <f>IF(ISNUMBER(Datos!J10),Datos!J10," - ")</f>
        <v>150</v>
      </c>
      <c r="F10" s="229">
        <f>IF(ISNUMBER(Datos!K10),Datos!K10," - ")</f>
        <v>127</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0.42592592592592593</v>
      </c>
      <c r="L10" s="1028">
        <f>IF(ISNUMBER(NºAsuntos!I10/NºAsuntos!G10),(NºAsuntos!I10/NºAsuntos!G10)*11," - ")</f>
        <v>6.6692913385826778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2.3998623537508603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54</v>
      </c>
      <c r="E13" s="1053">
        <f>SUBTOTAL(9,E9:E12)</f>
        <v>150</v>
      </c>
      <c r="F13" s="1054">
        <f>SUBTOTAL(9,F9:F12)</f>
        <v>127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4490</v>
      </c>
      <c r="D15" s="228">
        <f>IF(ISNUMBER(IF(D_I="SI",Datos!I15,Datos!I15+Datos!AC15)),IF(D_I="SI",Datos!I15,Datos!I15+Datos!AC15)," - ")</f>
        <v>4364</v>
      </c>
      <c r="E15" s="229">
        <f>IF(ISNUMBER(IF(D_I="SI",Datos!J15,Datos!J15+Datos!AD15)),IF(D_I="SI",Datos!J15,Datos!J15+Datos!AD15)," - ")</f>
        <v>15889</v>
      </c>
      <c r="F15" s="229">
        <f>IF(ISNUMBER(IF(D_I="SI",Datos!K15,Datos!K15+Datos!AE15)),IF(D_I="SI",Datos!K15,Datos!K15+Datos!AE15)," - ")</f>
        <v>15787</v>
      </c>
      <c r="G15" s="1037" t="str">
        <f>IF(Datos!E15&lt;&gt;"",Datos!E15,Datos!D15)</f>
        <v>03</v>
      </c>
      <c r="H15" s="230">
        <f>IF(ISNUMBER(IF(D_I="SI",Datos!L15,Datos!L15+Datos!AF15)),IF(D_I="SI",Datos!L15,Datos!L15+Datos!AF15)," - ")</f>
        <v>4592</v>
      </c>
      <c r="I15" s="1047" t="str">
        <f>IF(ISNUMBER(Datos!AS15/Datos!BM15),Datos!AS15/Datos!BM15," - ")</f>
        <v xml:space="preserve"> - </v>
      </c>
      <c r="J15" s="1048">
        <f>IF(ISNUMBER(Datos!BY15/Datos!CN15),Datos!BY15/Datos!CN15," - ")</f>
        <v>0</v>
      </c>
      <c r="K15" s="233">
        <f t="shared" ref="K15:K17" si="3">IF(ISNUMBER((E15-F15)/C15),(E15-F15)/C15," - ")</f>
        <v>2.2717149220489979E-2</v>
      </c>
      <c r="L15" s="1028">
        <f>IF(ISNUMBER(NºAsuntos!I15/NºAsuntos!G15),(NºAsuntos!I15/NºAsuntos!G15)*11," - ")</f>
        <v>3.1995946031544942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238</v>
      </c>
      <c r="D17" s="228">
        <f>IF(ISNUMBER(IF(D_I="SI",Datos!I17,Datos!I17+Datos!AC17)),IF(D_I="SI",Datos!I17,Datos!I17+Datos!AC17)," - ")</f>
        <v>228</v>
      </c>
      <c r="E17" s="229">
        <f>IF(ISNUMBER(IF(D_I="SI",Datos!J17,Datos!J17+Datos!AD17)),IF(D_I="SI",Datos!J17,Datos!J17+Datos!AD17)," - ")</f>
        <v>1397</v>
      </c>
      <c r="F17" s="229">
        <f>IF(ISNUMBER(IF(D_I="SI",Datos!K17,Datos!K17+Datos!AE17)),IF(D_I="SI",Datos!K17,Datos!K17+Datos!AE17)," - ")</f>
        <v>1370</v>
      </c>
      <c r="G17" s="1037" t="str">
        <f>IF(Datos!E17&lt;&gt;"",Datos!E17,Datos!D17)</f>
        <v>37</v>
      </c>
      <c r="H17" s="230">
        <f>IF(ISNUMBER(IF(D_I="SI",Datos!L17,Datos!L17+Datos!AF17)),IF(D_I="SI",Datos!L17,Datos!L17+Datos!AF17)," - ")</f>
        <v>265</v>
      </c>
      <c r="I17" s="1047" t="str">
        <f>IF(ISNUMBER(Datos!AS17/Datos!BM17),Datos!AS17/Datos!BM17," - ")</f>
        <v xml:space="preserve"> - </v>
      </c>
      <c r="J17" s="1048" t="str">
        <f>IF(ISNUMBER((Datos!BY17+Datos!BZ17)/Datos!CN17),(Datos!BY17+Datos!BZ17)/Datos!CN17," - ")</f>
        <v xml:space="preserve"> - </v>
      </c>
      <c r="K17" s="233">
        <f t="shared" si="3"/>
        <v>0.1134453781512605</v>
      </c>
      <c r="L17" s="1028">
        <f>IF(ISNUMBER(NºAsuntos!I17/NºAsuntos!G17),(NºAsuntos!I17/NºAsuntos!G17)*11," - ")</f>
        <v>2.1277372262773726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4728</v>
      </c>
      <c r="D18" s="1052">
        <f>SUBTOTAL(9,D15:D17)</f>
        <v>4592</v>
      </c>
      <c r="E18" s="1053">
        <f>SUBTOTAL(9,E15:E17)</f>
        <v>17286</v>
      </c>
      <c r="F18" s="1053">
        <f>SUBTOTAL(9,F15:F17)</f>
        <v>17157</v>
      </c>
      <c r="G18" s="1055" t="str">
        <f ca="1">INDIRECT(CONCATENATE("G",ROW()-1))</f>
        <v>37</v>
      </c>
      <c r="H18" s="1056">
        <f ca="1">SUMIF(G$14:G17,G18,H$14:H17)</f>
        <v>265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4782</v>
      </c>
      <c r="D19" s="1074">
        <f>SUBTOTAL(9,D9:D18)</f>
        <v>4646</v>
      </c>
      <c r="E19" s="1075">
        <f>SUBTOTAL(9,E9:E18)</f>
        <v>17436</v>
      </c>
      <c r="F19" s="1075">
        <f>SUBTOTAL(9,F9:F18)</f>
        <v>17284</v>
      </c>
      <c r="G19" s="1076"/>
      <c r="H19" s="1077">
        <f ca="1">SUMIF(B9:B18,"TOTAL",H9:H18)</f>
        <v>265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yKHdqKFbbmEjm6HLkSgm4nGsSHoq9ukinb5qwSYJxZbU210c7j67KJ2gUKp6hel5mTEyUDI5iAigrFg9hCvXA==" saltValue="8GA8lvmp624muHOAOvsU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OQfyXVBkl40m0YmsuUfyDygvUjRLZQ9J+QLVPeDAZCj6soaqavR8DdbbT7RWzS2CSp9bwdmP5VQdbE77UkvYA==" saltValue="ucDRxA471DAHrXI509mw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6789</v>
      </c>
      <c r="J9" s="184">
        <v>10647</v>
      </c>
      <c r="K9" s="184">
        <v>7886</v>
      </c>
      <c r="L9" s="184">
        <v>7951</v>
      </c>
      <c r="M9" s="184">
        <v>3333</v>
      </c>
      <c r="N9" s="184">
        <v>2006</v>
      </c>
      <c r="O9" s="184">
        <v>2682</v>
      </c>
      <c r="P9" s="184">
        <v>1640</v>
      </c>
      <c r="Q9" s="184">
        <v>1950</v>
      </c>
      <c r="R9" s="184">
        <v>3882</v>
      </c>
      <c r="S9" s="184">
        <v>5851</v>
      </c>
      <c r="T9" s="184">
        <v>9915</v>
      </c>
      <c r="U9" s="184">
        <v>8939</v>
      </c>
      <c r="V9" s="184">
        <v>6789</v>
      </c>
      <c r="W9" s="184">
        <v>3705</v>
      </c>
      <c r="X9" s="191">
        <v>2102</v>
      </c>
      <c r="Y9" s="194">
        <v>88</v>
      </c>
      <c r="Z9" s="184">
        <v>699</v>
      </c>
      <c r="AA9" s="184">
        <v>691</v>
      </c>
      <c r="AB9" s="184">
        <v>96</v>
      </c>
      <c r="AC9" s="184">
        <v>0</v>
      </c>
      <c r="AD9" s="184">
        <v>0</v>
      </c>
      <c r="AE9" s="184">
        <v>0</v>
      </c>
      <c r="AF9" s="191">
        <v>0</v>
      </c>
      <c r="AG9" s="194">
        <v>89</v>
      </c>
      <c r="AH9" s="184">
        <v>456</v>
      </c>
      <c r="AI9" s="184">
        <v>457</v>
      </c>
      <c r="AJ9" s="195">
        <v>88</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5940</v>
      </c>
      <c r="AZ9" s="123">
        <f>IF(ISNUMBER(IF(J_V="SI",T9,T9+AH9)),IF(J_V="SI",T9,T9+AH9)," - ")</f>
        <v>10371</v>
      </c>
      <c r="BA9" s="124">
        <f>IF(ISNUMBER(IF(J_V="SI",U9,U9+AI9)),IF(J_V="SI",U9,U9+AI9)," - ")</f>
        <v>9396</v>
      </c>
      <c r="BB9" s="124">
        <f>IF(ISNUMBER(IF(J_V="SI",V9,V9+AJ9)),IF(J_V="SI",V9,V9+AJ9)," - ")</f>
        <v>6877</v>
      </c>
      <c r="BC9" s="125">
        <f>IF(ISNUMBER(X9),X9," - ")</f>
        <v>2102</v>
      </c>
      <c r="BD9" s="126">
        <f>IF(ISNUMBER(BA9/AZ9),BA9/AZ9," - ")</f>
        <v>0.90598785073763377</v>
      </c>
      <c r="BE9" s="127">
        <f>IF(ISNUMBER(BB9/BA9),BB9/BA9, " - ")</f>
        <v>0.73190719455087272</v>
      </c>
      <c r="BF9" s="127">
        <f>IF(ISNUMBER(BC9/BA9),BC9/BA9, " - ")</f>
        <v>0.22371221796509153</v>
      </c>
      <c r="BG9" s="199">
        <f>IF(ISNUMBER((AY9+AZ9)/BA9),(AY9+AZ9)/BA9," - ")</f>
        <v>1.7359514687100894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54</v>
      </c>
      <c r="J10" s="184">
        <v>150</v>
      </c>
      <c r="K10" s="184">
        <v>127</v>
      </c>
      <c r="L10" s="184">
        <v>77</v>
      </c>
      <c r="M10" s="184">
        <v>68</v>
      </c>
      <c r="N10" s="184">
        <v>45</v>
      </c>
      <c r="O10" s="184">
        <v>8</v>
      </c>
      <c r="P10" s="184">
        <v>37</v>
      </c>
      <c r="Q10" s="184">
        <v>39</v>
      </c>
      <c r="R10" s="184">
        <v>71</v>
      </c>
      <c r="S10" s="184">
        <v>83</v>
      </c>
      <c r="T10" s="184">
        <v>123</v>
      </c>
      <c r="U10" s="184">
        <v>131</v>
      </c>
      <c r="V10" s="184">
        <v>54</v>
      </c>
      <c r="W10" s="184">
        <v>65</v>
      </c>
      <c r="X10" s="191">
        <v>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83</v>
      </c>
      <c r="AZ10" s="129">
        <f t="shared" si="0"/>
        <v>123</v>
      </c>
      <c r="BA10" s="129">
        <f t="shared" si="0"/>
        <v>131</v>
      </c>
      <c r="BB10" s="129">
        <f t="shared" si="0"/>
        <v>54</v>
      </c>
      <c r="BC10" s="125">
        <f t="shared" si="0"/>
        <v>65</v>
      </c>
      <c r="BD10" s="126">
        <f>IF(ISNUMBER(BA10/AZ10),BA10/AZ10," - ")</f>
        <v>1.065040650406504</v>
      </c>
      <c r="BE10" s="127">
        <f>IF(ISNUMBER(BB10/BA10),BB10/BA10, " - ")</f>
        <v>0.41221374045801529</v>
      </c>
      <c r="BF10" s="127">
        <f>IF(ISNUMBER(BC10/BA10),BC10/BA10, " - ")</f>
        <v>0.49618320610687022</v>
      </c>
      <c r="BG10" s="199">
        <f>IF(ISNUMBER((AY10+AZ10)/BA10),(AY10+AZ10)/BA10," - ")</f>
        <v>1.5725190839694656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735</v>
      </c>
      <c r="J11" s="186">
        <v>1441</v>
      </c>
      <c r="K11" s="186">
        <v>1554</v>
      </c>
      <c r="L11" s="186">
        <v>593</v>
      </c>
      <c r="M11" s="186">
        <v>530</v>
      </c>
      <c r="N11" s="186">
        <v>2140</v>
      </c>
      <c r="O11" s="184">
        <v>260</v>
      </c>
      <c r="P11" s="186">
        <v>151</v>
      </c>
      <c r="Q11" s="186">
        <v>370</v>
      </c>
      <c r="R11" s="186">
        <v>489</v>
      </c>
      <c r="S11" s="186">
        <v>606</v>
      </c>
      <c r="T11" s="186">
        <v>1440</v>
      </c>
      <c r="U11" s="186">
        <v>1322</v>
      </c>
      <c r="V11" s="186">
        <v>735</v>
      </c>
      <c r="W11" s="186">
        <v>630</v>
      </c>
      <c r="X11" s="192">
        <v>1644</v>
      </c>
      <c r="Y11" s="194">
        <v>41</v>
      </c>
      <c r="Z11" s="184">
        <v>1352</v>
      </c>
      <c r="AA11" s="184">
        <v>1352</v>
      </c>
      <c r="AB11" s="184">
        <v>41</v>
      </c>
      <c r="AC11" s="186">
        <v>0</v>
      </c>
      <c r="AD11" s="186">
        <v>0</v>
      </c>
      <c r="AE11" s="186">
        <v>0</v>
      </c>
      <c r="AF11" s="192">
        <v>0</v>
      </c>
      <c r="AG11" s="205">
        <v>165</v>
      </c>
      <c r="AH11" s="186">
        <v>1466</v>
      </c>
      <c r="AI11" s="186">
        <v>1570</v>
      </c>
      <c r="AJ11" s="206">
        <v>41</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771</v>
      </c>
      <c r="AZ11" s="127">
        <f t="shared" si="1"/>
        <v>2906</v>
      </c>
      <c r="BA11" s="127">
        <f t="shared" si="1"/>
        <v>2892</v>
      </c>
      <c r="BB11" s="127">
        <f t="shared" si="1"/>
        <v>776</v>
      </c>
      <c r="BC11" s="125">
        <f>IF(ISNUMBER(X11),X11," - ")</f>
        <v>1644</v>
      </c>
      <c r="BD11" s="126">
        <f t="shared" ref="BD11:BD12" si="2">IF(ISNUMBER(BA11/AZ11),BA11/AZ11," - ")</f>
        <v>0.99518238128011016</v>
      </c>
      <c r="BE11" s="127">
        <f t="shared" ref="BE11:BE12" si="3">IF(ISNUMBER(BB11/BA11),BB11/BA11, " - ")</f>
        <v>0.26832641770401106</v>
      </c>
      <c r="BF11" s="127">
        <f t="shared" ref="BF11:BF12" si="4">IF(ISNUMBER(BC11/BA11),BC11/BA11, " - ")</f>
        <v>0.56846473029045641</v>
      </c>
      <c r="BG11" s="199">
        <f t="shared" ref="BG11:BG12" si="5">IF(ISNUMBER((AY11+AZ11)/BA11),(AY11+AZ11)/BA11," - ")</f>
        <v>1.2714384508990317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7578</v>
      </c>
      <c r="J13" s="187">
        <f t="shared" si="6"/>
        <v>12238</v>
      </c>
      <c r="K13" s="187">
        <f t="shared" si="6"/>
        <v>9567</v>
      </c>
      <c r="L13" s="187">
        <f t="shared" si="6"/>
        <v>8621</v>
      </c>
      <c r="M13" s="187">
        <f t="shared" si="6"/>
        <v>3931</v>
      </c>
      <c r="N13" s="187">
        <f t="shared" si="6"/>
        <v>4191</v>
      </c>
      <c r="O13" s="187">
        <f t="shared" si="6"/>
        <v>2950</v>
      </c>
      <c r="P13" s="187">
        <f t="shared" si="6"/>
        <v>1828</v>
      </c>
      <c r="Q13" s="187">
        <f t="shared" si="6"/>
        <v>2359</v>
      </c>
      <c r="R13" s="187">
        <f t="shared" si="6"/>
        <v>4442</v>
      </c>
      <c r="S13" s="187">
        <f t="shared" si="6"/>
        <v>6540</v>
      </c>
      <c r="T13" s="187">
        <f t="shared" si="6"/>
        <v>11478</v>
      </c>
      <c r="U13" s="187">
        <f t="shared" si="6"/>
        <v>10392</v>
      </c>
      <c r="V13" s="187">
        <f t="shared" si="6"/>
        <v>7578</v>
      </c>
      <c r="W13" s="187">
        <f t="shared" si="6"/>
        <v>4400</v>
      </c>
      <c r="X13" s="187">
        <f t="shared" si="6"/>
        <v>3777</v>
      </c>
      <c r="Y13" s="187">
        <f t="shared" si="6"/>
        <v>129</v>
      </c>
      <c r="Z13" s="187">
        <f t="shared" si="6"/>
        <v>2051</v>
      </c>
      <c r="AA13" s="187">
        <f t="shared" si="6"/>
        <v>2043</v>
      </c>
      <c r="AB13" s="187">
        <f t="shared" si="6"/>
        <v>137</v>
      </c>
      <c r="AC13" s="187">
        <f t="shared" si="6"/>
        <v>0</v>
      </c>
      <c r="AD13" s="187">
        <f t="shared" si="6"/>
        <v>0</v>
      </c>
      <c r="AE13" s="187">
        <f t="shared" si="6"/>
        <v>0</v>
      </c>
      <c r="AF13" s="187">
        <f>SUBTOTAL(9,AF9:AF12)</f>
        <v>0</v>
      </c>
      <c r="AG13" s="187">
        <f t="shared" ref="AG13:AT13" si="7">SUBTOTAL(9,AG8:AG12)</f>
        <v>254</v>
      </c>
      <c r="AH13" s="187">
        <f t="shared" si="7"/>
        <v>1922</v>
      </c>
      <c r="AI13" s="187">
        <f t="shared" si="7"/>
        <v>2027</v>
      </c>
      <c r="AJ13" s="187">
        <f t="shared" si="7"/>
        <v>129</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6794</v>
      </c>
      <c r="AZ13" s="187">
        <f>SUBTOTAL(9,AZ8:AZ12)</f>
        <v>13400</v>
      </c>
      <c r="BA13" s="187">
        <f>SUBTOTAL(9,BA8:BA12)</f>
        <v>12419</v>
      </c>
      <c r="BB13" s="187">
        <f>SUBTOTAL(9,BB8:BB12)</f>
        <v>7707</v>
      </c>
      <c r="BC13" s="187">
        <f>SUBTOTAL(9,BC8:BC12)</f>
        <v>3811</v>
      </c>
      <c r="BD13" s="208">
        <f>IF(ISNUMBER(BA13/AZ13),BA13/AZ13," - ")</f>
        <v>0.9267910447761194</v>
      </c>
      <c r="BE13" s="209">
        <f>IF(ISNUMBER(BB13/BA13),BB13/BA13, " - ")</f>
        <v>0.62058136725984381</v>
      </c>
      <c r="BF13" s="209">
        <f>IF(ISNUMBER(BC13/BA13),BC13/BA13, " - ")</f>
        <v>0.30686850793139542</v>
      </c>
      <c r="BG13" s="210">
        <f>IF(ISNUMBER((AY13+AZ13)/BA13),(AY13+AZ13)/BA13," - ")</f>
        <v>1.6260568483774862</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4364</v>
      </c>
      <c r="J15" s="186">
        <v>15889</v>
      </c>
      <c r="K15" s="186">
        <v>15787</v>
      </c>
      <c r="L15" s="186">
        <v>4592</v>
      </c>
      <c r="M15" s="186">
        <v>1950</v>
      </c>
      <c r="N15" s="186">
        <v>7841</v>
      </c>
      <c r="O15" s="184">
        <v>0</v>
      </c>
      <c r="P15" s="186">
        <v>575</v>
      </c>
      <c r="Q15" s="186">
        <v>700</v>
      </c>
      <c r="R15" s="186">
        <v>675</v>
      </c>
      <c r="S15" s="186">
        <v>3702</v>
      </c>
      <c r="T15" s="186">
        <v>15450</v>
      </c>
      <c r="U15" s="186">
        <v>15040</v>
      </c>
      <c r="V15" s="186">
        <v>4364</v>
      </c>
      <c r="W15" s="186">
        <v>1878</v>
      </c>
      <c r="X15" s="192">
        <v>8107</v>
      </c>
      <c r="Y15" s="205">
        <v>0</v>
      </c>
      <c r="Z15" s="186">
        <v>0</v>
      </c>
      <c r="AA15" s="186">
        <v>0</v>
      </c>
      <c r="AB15" s="186">
        <v>0</v>
      </c>
      <c r="AC15" s="186">
        <v>19</v>
      </c>
      <c r="AD15" s="186">
        <v>229</v>
      </c>
      <c r="AE15" s="186">
        <v>244</v>
      </c>
      <c r="AF15" s="192">
        <v>4</v>
      </c>
      <c r="AG15" s="205">
        <v>0</v>
      </c>
      <c r="AH15" s="186">
        <v>0</v>
      </c>
      <c r="AI15" s="186">
        <v>0</v>
      </c>
      <c r="AJ15" s="206">
        <v>0</v>
      </c>
      <c r="AK15" s="185">
        <v>14</v>
      </c>
      <c r="AL15" s="186">
        <v>368</v>
      </c>
      <c r="AM15" s="186">
        <v>363</v>
      </c>
      <c r="AN15" s="192">
        <v>19</v>
      </c>
      <c r="AO15" s="262">
        <v>5</v>
      </c>
      <c r="AP15" s="158">
        <v>5</v>
      </c>
      <c r="AQ15" s="158">
        <v>5</v>
      </c>
      <c r="AR15" s="158">
        <v>5</v>
      </c>
      <c r="AS15" s="343" t="s">
        <v>527</v>
      </c>
      <c r="AT15" s="206" t="s">
        <v>326</v>
      </c>
      <c r="AU15" s="205"/>
      <c r="AV15" s="206"/>
      <c r="AW15" s="205"/>
      <c r="AX15" s="206"/>
      <c r="AY15" s="128">
        <f t="shared" ref="AY15:BB16" si="9">IF(ISNUMBER(IF(D_I="SI",S15,S15+AK15)),IF(D_I="SI",S15,S15+AK15)," - ")</f>
        <v>3702</v>
      </c>
      <c r="AZ15" s="129">
        <f t="shared" si="9"/>
        <v>15450</v>
      </c>
      <c r="BA15" s="129">
        <f t="shared" si="9"/>
        <v>15040</v>
      </c>
      <c r="BB15" s="129">
        <f t="shared" si="9"/>
        <v>4364</v>
      </c>
      <c r="BC15" s="125">
        <f>IF(ISNUMBER(W15),W15," - ")</f>
        <v>1878</v>
      </c>
      <c r="BD15" s="126">
        <f>IF(ISNUMBER(BA15/AZ15),BA15/AZ15," - ")</f>
        <v>0.97346278317152102</v>
      </c>
      <c r="BE15" s="127">
        <f>IF(ISNUMBER(BB15/BA15),BB15/BA15, " - ")</f>
        <v>0.2901595744680851</v>
      </c>
      <c r="BF15" s="127">
        <f>IF(ISNUMBER(BC15/BA15),BC15/BA15, " - ")</f>
        <v>0.12486702127659574</v>
      </c>
      <c r="BG15" s="199">
        <f t="shared" ref="BG15:BG16" si="10">IF(ISNUMBER((AY15+AZ15)/BA15),(AY15+AZ15)/BA15," - ")</f>
        <v>1.2734042553191489</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228</v>
      </c>
      <c r="J17" s="186">
        <v>1397</v>
      </c>
      <c r="K17" s="186">
        <v>1370</v>
      </c>
      <c r="L17" s="186">
        <v>265</v>
      </c>
      <c r="M17" s="186">
        <v>148</v>
      </c>
      <c r="N17" s="186">
        <v>488</v>
      </c>
      <c r="O17" s="186">
        <v>0</v>
      </c>
      <c r="P17" s="186">
        <v>1</v>
      </c>
      <c r="Q17" s="186">
        <v>4</v>
      </c>
      <c r="R17" s="186">
        <v>1</v>
      </c>
      <c r="S17" s="186">
        <v>256</v>
      </c>
      <c r="T17" s="186">
        <v>1261</v>
      </c>
      <c r="U17" s="186">
        <v>1342</v>
      </c>
      <c r="V17" s="186">
        <v>228</v>
      </c>
      <c r="W17" s="186">
        <v>122</v>
      </c>
      <c r="X17" s="192">
        <v>556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256</v>
      </c>
      <c r="AZ17" s="129">
        <f t="shared" si="14"/>
        <v>1261</v>
      </c>
      <c r="BA17" s="129">
        <f t="shared" si="14"/>
        <v>1342</v>
      </c>
      <c r="BB17" s="129">
        <f t="shared" si="14"/>
        <v>228</v>
      </c>
      <c r="BC17" s="125">
        <f>IF(ISNUMBER(W17),W17," - ")</f>
        <v>122</v>
      </c>
      <c r="BD17" s="126">
        <f>IF(ISNUMBER(BA17/AZ17),BA17/AZ17," - ")</f>
        <v>1.0642347343378271</v>
      </c>
      <c r="BE17" s="127">
        <f>IF(ISNUMBER(BB17/BA17),BB17/BA17, " - ")</f>
        <v>0.16989567809239942</v>
      </c>
      <c r="BF17" s="127">
        <f>IF(ISNUMBER(BC17/BA17),BC17/BA17, " - ")</f>
        <v>9.0909090909090912E-2</v>
      </c>
      <c r="BG17" s="199">
        <f>IF(ISNUMBER((AY17+AZ17)/BA17),(AY17+AZ17)/BA17," - ")</f>
        <v>1.1304023845007451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4592</v>
      </c>
      <c r="J18" s="187">
        <f t="shared" si="15"/>
        <v>17286</v>
      </c>
      <c r="K18" s="187">
        <f t="shared" si="15"/>
        <v>17157</v>
      </c>
      <c r="L18" s="187">
        <f t="shared" si="15"/>
        <v>4857</v>
      </c>
      <c r="M18" s="187">
        <f t="shared" si="15"/>
        <v>2098</v>
      </c>
      <c r="N18" s="187">
        <f t="shared" si="15"/>
        <v>8329</v>
      </c>
      <c r="O18" s="187">
        <f t="shared" si="15"/>
        <v>0</v>
      </c>
      <c r="P18" s="187">
        <f t="shared" si="15"/>
        <v>576</v>
      </c>
      <c r="Q18" s="187">
        <f t="shared" si="15"/>
        <v>704</v>
      </c>
      <c r="R18" s="187">
        <f t="shared" si="15"/>
        <v>676</v>
      </c>
      <c r="S18" s="187">
        <f t="shared" si="15"/>
        <v>3958</v>
      </c>
      <c r="T18" s="187">
        <f t="shared" si="15"/>
        <v>16711</v>
      </c>
      <c r="U18" s="187">
        <f t="shared" si="15"/>
        <v>16382</v>
      </c>
      <c r="V18" s="187">
        <f t="shared" si="15"/>
        <v>4592</v>
      </c>
      <c r="W18" s="187">
        <f t="shared" si="15"/>
        <v>2000</v>
      </c>
      <c r="X18" s="187">
        <f t="shared" si="15"/>
        <v>8663</v>
      </c>
      <c r="Y18" s="187">
        <f t="shared" si="15"/>
        <v>0</v>
      </c>
      <c r="Z18" s="187">
        <f t="shared" si="15"/>
        <v>0</v>
      </c>
      <c r="AA18" s="187">
        <f t="shared" si="15"/>
        <v>0</v>
      </c>
      <c r="AB18" s="187">
        <f t="shared" si="15"/>
        <v>0</v>
      </c>
      <c r="AC18" s="187">
        <f t="shared" si="15"/>
        <v>19</v>
      </c>
      <c r="AD18" s="187">
        <f t="shared" si="15"/>
        <v>229</v>
      </c>
      <c r="AE18" s="187">
        <f t="shared" si="15"/>
        <v>244</v>
      </c>
      <c r="AF18" s="187">
        <f t="shared" si="15"/>
        <v>4</v>
      </c>
      <c r="AG18" s="187">
        <f t="shared" si="15"/>
        <v>0</v>
      </c>
      <c r="AH18" s="187">
        <f t="shared" si="15"/>
        <v>0</v>
      </c>
      <c r="AI18" s="187">
        <f t="shared" si="15"/>
        <v>0</v>
      </c>
      <c r="AJ18" s="187">
        <f t="shared" si="15"/>
        <v>0</v>
      </c>
      <c r="AK18" s="187">
        <f t="shared" si="15"/>
        <v>14</v>
      </c>
      <c r="AL18" s="187">
        <f t="shared" si="15"/>
        <v>368</v>
      </c>
      <c r="AM18" s="187">
        <f t="shared" si="15"/>
        <v>363</v>
      </c>
      <c r="AN18" s="187">
        <f t="shared" si="15"/>
        <v>19</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3958</v>
      </c>
      <c r="AZ18" s="187">
        <f>SUBTOTAL(9,AZ14:AZ17)</f>
        <v>16711</v>
      </c>
      <c r="BA18" s="187">
        <f>SUBTOTAL(9,BA14:BA17)</f>
        <v>16382</v>
      </c>
      <c r="BB18" s="187">
        <f>SUBTOTAL(9,BB14:BB17)</f>
        <v>4592</v>
      </c>
      <c r="BC18" s="187">
        <f>SUBTOTAL(9,BC14:BC17)</f>
        <v>2000</v>
      </c>
      <c r="BD18" s="208">
        <f>IF(ISNUMBER(BA18/AZ18),BA18/AZ18," - ")</f>
        <v>0.98031236909819874</v>
      </c>
      <c r="BE18" s="209">
        <f>IF(ISNUMBER(BB18/BA18),BB18/BA18, " - ")</f>
        <v>0.28030765474301061</v>
      </c>
      <c r="BF18" s="209">
        <f>IF(ISNUMBER(BC18/BA18),BC18/BA18, " - ")</f>
        <v>0.12208521548040532</v>
      </c>
      <c r="BG18" s="210">
        <f>IF(ISNUMBER((AY18+AZ18)/BA18),(AY18+AZ18)/BA18," - ")</f>
        <v>1.2616896593822489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12170</v>
      </c>
      <c r="J19" s="134">
        <f t="shared" si="18"/>
        <v>29524</v>
      </c>
      <c r="K19" s="134">
        <f t="shared" si="18"/>
        <v>26724</v>
      </c>
      <c r="L19" s="134">
        <f t="shared" si="18"/>
        <v>13478</v>
      </c>
      <c r="M19" s="134">
        <f t="shared" si="18"/>
        <v>6029</v>
      </c>
      <c r="N19" s="134">
        <f t="shared" si="18"/>
        <v>12520</v>
      </c>
      <c r="O19" s="134">
        <f t="shared" si="18"/>
        <v>2950</v>
      </c>
      <c r="P19" s="134">
        <f t="shared" si="18"/>
        <v>2404</v>
      </c>
      <c r="Q19" s="134">
        <f t="shared" si="18"/>
        <v>3063</v>
      </c>
      <c r="R19" s="134">
        <f t="shared" si="18"/>
        <v>5118</v>
      </c>
      <c r="S19" s="134">
        <f t="shared" si="18"/>
        <v>10498</v>
      </c>
      <c r="T19" s="134">
        <f t="shared" si="18"/>
        <v>28189</v>
      </c>
      <c r="U19" s="134">
        <f t="shared" si="18"/>
        <v>26774</v>
      </c>
      <c r="V19" s="134">
        <f t="shared" si="18"/>
        <v>12170</v>
      </c>
      <c r="W19" s="134">
        <f t="shared" si="18"/>
        <v>6400</v>
      </c>
      <c r="X19" s="134">
        <f t="shared" si="18"/>
        <v>12440</v>
      </c>
      <c r="Y19" s="134">
        <f t="shared" si="18"/>
        <v>129</v>
      </c>
      <c r="Z19" s="134">
        <f t="shared" si="18"/>
        <v>2051</v>
      </c>
      <c r="AA19" s="134">
        <f t="shared" si="18"/>
        <v>2043</v>
      </c>
      <c r="AB19" s="134">
        <f t="shared" si="18"/>
        <v>137</v>
      </c>
      <c r="AC19" s="134">
        <f t="shared" si="18"/>
        <v>19</v>
      </c>
      <c r="AD19" s="134">
        <f t="shared" si="18"/>
        <v>229</v>
      </c>
      <c r="AE19" s="134">
        <f t="shared" si="18"/>
        <v>244</v>
      </c>
      <c r="AF19" s="134">
        <f t="shared" si="18"/>
        <v>4</v>
      </c>
      <c r="AG19" s="134">
        <f t="shared" si="18"/>
        <v>254</v>
      </c>
      <c r="AH19" s="134">
        <f t="shared" si="18"/>
        <v>1922</v>
      </c>
      <c r="AI19" s="134">
        <f t="shared" si="18"/>
        <v>2027</v>
      </c>
      <c r="AJ19" s="134">
        <f t="shared" si="18"/>
        <v>129</v>
      </c>
      <c r="AK19" s="134">
        <f t="shared" si="18"/>
        <v>14</v>
      </c>
      <c r="AL19" s="134">
        <f t="shared" si="18"/>
        <v>368</v>
      </c>
      <c r="AM19" s="134">
        <f t="shared" si="18"/>
        <v>363</v>
      </c>
      <c r="AN19" s="213">
        <f t="shared" si="18"/>
        <v>19</v>
      </c>
      <c r="AO19" s="214">
        <v>14</v>
      </c>
      <c r="AP19" s="214">
        <v>14</v>
      </c>
      <c r="AQ19" s="214">
        <v>14</v>
      </c>
      <c r="AR19" s="214">
        <v>14</v>
      </c>
      <c r="AS19" s="156">
        <f t="shared" si="18"/>
        <v>0</v>
      </c>
      <c r="AT19" s="156">
        <f t="shared" si="18"/>
        <v>0</v>
      </c>
      <c r="AU19" s="214"/>
      <c r="AV19" s="215"/>
      <c r="AW19" s="214"/>
      <c r="AX19" s="215"/>
      <c r="AY19" s="133">
        <f>SUBTOTAL(9,AY9:AY18)</f>
        <v>10752</v>
      </c>
      <c r="AZ19" s="134">
        <f>SUBTOTAL(9,AZ9:AZ18)</f>
        <v>30111</v>
      </c>
      <c r="BA19" s="134">
        <f>SUBTOTAL(9,BA9:BA18)</f>
        <v>28801</v>
      </c>
      <c r="BB19" s="134">
        <f>SUBTOTAL(9,BB9:BB18)</f>
        <v>12299</v>
      </c>
      <c r="BC19" s="135">
        <f>SUBTOTAL(9,BC9:BC18)</f>
        <v>5811</v>
      </c>
      <c r="BD19" s="216">
        <f>IF(ISNUMBER(BA19/AZ19),BA19/AZ19," - ")</f>
        <v>0.95649430440702732</v>
      </c>
      <c r="BE19" s="213">
        <f>IF(ISNUMBER(BB19/BA19),BB19/BA19, " - ")</f>
        <v>0.42703378354918231</v>
      </c>
      <c r="BF19" s="213">
        <f>IF(ISNUMBER(BC19/BA19),BC19/BA19, " - ")</f>
        <v>0.20176382764487344</v>
      </c>
      <c r="BG19" s="135">
        <f>IF(ISNUMBER((AY19+AZ19)/BA19),(AY19+AZ19)/BA19," - ")</f>
        <v>1.4188049026075484</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HuvPB+UpQeQWWVICqUFX+vAGnkxWpmCosEShDyQ0Y6NNtWs3dIUehINsiT3NwHsmSs+VcxR7EAe3Gd55M7sKg==" saltValue="dhh1ksbT0oJhUkMvOq5e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wCRcadLsIS7Ta0c7KxVkpVD8pUkCpUnTliZ9nKmw8aFe75YOblmnain27BDzEN6pSgCFBz5p8ZgSa4eDDQCwQ==" saltValue="yc7IlN6x7ULtfi5p1yWr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DONOSTIA-SAN SEBASTIAN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699</v>
      </c>
      <c r="O9" s="337"/>
      <c r="P9" s="337"/>
      <c r="Q9" s="229">
        <f>IF(ISNUMBER(Datos!P9),Datos!P9,0)</f>
        <v>1640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1950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96</v>
      </c>
      <c r="AI9" s="337" t="str">
        <f>IF(ISNUMBER(Datos!CD9),Datos!CD9,"-")</f>
        <v>-</v>
      </c>
      <c r="AJ9" s="337" t="str">
        <f>IF(ISNUMBER(Datos!EN9),Datos!EN9," - ")</f>
        <v xml:space="preserve"> - </v>
      </c>
      <c r="AK9" s="337"/>
      <c r="AL9" s="482"/>
      <c r="AM9" s="338">
        <f>IF(ISNUMBER(Datos!R9),Datos!R9," - ")</f>
        <v>3882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3333</v>
      </c>
      <c r="BD9" s="232">
        <f>IF(ISNUMBER(Datos!N9),Datos!N9," - ")</f>
        <v>2006</v>
      </c>
      <c r="BE9" s="232" t="str">
        <f>IF(ISNUMBER(Datos!BW9),Datos!BW9," - ")</f>
        <v xml:space="preserve"> - </v>
      </c>
      <c r="BF9" s="231" t="str">
        <f>IF(ISNUMBER(Datos!BX9),Datos!BX9," - ")</f>
        <v xml:space="preserve"> - </v>
      </c>
      <c r="BG9" s="246">
        <f>IF(ISNUMBER(IF(J_V="SI",Datos!K9/Datos!J9,(Datos!K9+Datos!AA9)/(Datos!J9+Datos!Z9))),IF(J_V="SI",Datos!K9/Datos!J9,(Datos!K9+Datos!AA9)/(Datos!J9+Datos!Z9))," - ")</f>
        <v>0.75594923320994178</v>
      </c>
      <c r="BH9" s="263">
        <f>IF(ISNUMBER(((IF(J_V="SI",Datos!L9/Datos!K9,(Datos!L9+Datos!AB9)/(Datos!K9+Datos!AA9)))*11)/factor_trimestre),((IF(J_V="SI",Datos!L9/Datos!K9,(Datos!L9+Datos!AB9)/(Datos!K9+Datos!AA9)))*11)/factor_trimestre," - ")</f>
        <v>10.320275154482919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-7.3950381679389318E-2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54</v>
      </c>
      <c r="G10" s="336">
        <f>IF(ISNUMBER(Datos!I10),Datos!I10," - ")</f>
        <v>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127</v>
      </c>
      <c r="AC10" s="229">
        <f>IF(ISNUMBER(Datos!Q10),Datos!Q10," - ")</f>
        <v>39</v>
      </c>
      <c r="AD10" s="337"/>
      <c r="AE10" s="487"/>
      <c r="AF10" s="335">
        <f>IF(ISNUMBER(Datos!L10),Datos!L10,"-")</f>
        <v>77</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68</v>
      </c>
      <c r="BD10" s="232">
        <f>IF(ISNUMBER(Datos!N10),Datos!N10," - ")</f>
        <v>45</v>
      </c>
      <c r="BE10" s="232" t="str">
        <f>IF(ISNUMBER(Datos!BW10),Datos!BW10," - ")</f>
        <v xml:space="preserve"> - </v>
      </c>
      <c r="BF10" s="231" t="str">
        <f>IF(ISNUMBER(Datos!BX10),Datos!BX10," - ")</f>
        <v xml:space="preserve"> - </v>
      </c>
      <c r="BG10" s="246">
        <f>IF(ISNUMBER(Datos!K10/Datos!J10),Datos!K10/Datos!J10," - ")</f>
        <v>0.84666666666666668</v>
      </c>
      <c r="BH10" s="263">
        <f>IF(ISNUMBER(((Datos!L10/Datos!K10)*11)/factor_trimestre),((Datos!L10/Datos!K10)*11)/factor_trimestre," - ")</f>
        <v>6.6692913385826778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-2.7397260273972601E-2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1352</v>
      </c>
      <c r="O11" s="337"/>
      <c r="P11" s="337"/>
      <c r="Q11" s="229">
        <f>IF(ISNUMBER(Datos!P11),Datos!P11,0)</f>
        <v>151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370</v>
      </c>
      <c r="AD11" s="337"/>
      <c r="AE11" s="487"/>
      <c r="AF11" s="335" t="str">
        <f>IF(ISNUMBER(IF(J_V="SI",Datos!L11,Datos!L11+Datos!AB11)-IF(Monitorios="SI",Datos!CD11,0)),
                          IF(J_V="SI",Datos!L11,Datos!L11+Datos!AB11)-IF(Monitorios="SI",Datos!CD11,0),
                          " - ")</f>
        <v xml:space="preserve"> - </v>
      </c>
      <c r="AG11" s="337"/>
      <c r="AH11" s="337">
        <f>IF(ISNUMBER(Datos!AB11),Datos!AB11,"-")</f>
        <v>41</v>
      </c>
      <c r="AI11" s="337"/>
      <c r="AJ11" s="337"/>
      <c r="AK11" s="337"/>
      <c r="AL11" s="482"/>
      <c r="AM11" s="338">
        <f>IF(ISNUMBER(Datos!R11),Datos!R11," - ")</f>
        <v>489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530</v>
      </c>
      <c r="BD11" s="232">
        <f>IF(ISNUMBER(Datos!N11),Datos!N11," - ")</f>
        <v>2140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1.0404582885785894</v>
      </c>
      <c r="BH11" s="263">
        <f>IF(ISNUMBER(((IF(J_V="SI",Datos!L11/Datos!K11,(Datos!L11+Datos!AB11)/(Datos!K11+Datos!AA11)))*11)/factor_trimestre),((IF(J_V="SI",Datos!L11/Datos!K11,(Datos!L11+Datos!AB11)/(Datos!K11+Datos!AA11)))*11)/factor_trimestre," - ")</f>
        <v>2.3998623537508603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-0.30932203389830509</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54</v>
      </c>
      <c r="G13" s="901">
        <f t="shared" si="0"/>
        <v>54</v>
      </c>
      <c r="H13" s="902">
        <f t="shared" si="0"/>
        <v>0</v>
      </c>
      <c r="I13" s="901">
        <f t="shared" si="0"/>
        <v>0</v>
      </c>
      <c r="J13" s="870">
        <f t="shared" si="0"/>
        <v>0</v>
      </c>
      <c r="K13" s="870">
        <f t="shared" si="0"/>
        <v>0</v>
      </c>
      <c r="L13" s="902">
        <f t="shared" si="0"/>
        <v>0</v>
      </c>
      <c r="M13" s="902">
        <f t="shared" si="0"/>
        <v>0</v>
      </c>
      <c r="N13" s="902">
        <f t="shared" si="0"/>
        <v>2051</v>
      </c>
      <c r="O13" s="903">
        <f t="shared" si="0"/>
        <v>0</v>
      </c>
      <c r="P13" s="903">
        <f t="shared" si="0"/>
        <v>0</v>
      </c>
      <c r="Q13" s="902">
        <f t="shared" si="0"/>
        <v>1828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127</v>
      </c>
      <c r="AC13" s="902">
        <f t="shared" si="1"/>
        <v>2359</v>
      </c>
      <c r="AD13" s="902">
        <f t="shared" si="1"/>
        <v>0</v>
      </c>
      <c r="AE13" s="902">
        <f t="shared" si="1"/>
        <v>0</v>
      </c>
      <c r="AF13" s="902">
        <f t="shared" si="1"/>
        <v>77</v>
      </c>
      <c r="AG13" s="902">
        <f t="shared" si="1"/>
        <v>0</v>
      </c>
      <c r="AH13" s="902">
        <f t="shared" si="1"/>
        <v>137</v>
      </c>
      <c r="AI13" s="902">
        <f t="shared" si="1"/>
        <v>0</v>
      </c>
      <c r="AJ13" s="902">
        <f t="shared" si="1"/>
        <v>0</v>
      </c>
      <c r="AK13" s="902">
        <f t="shared" si="1"/>
        <v>0</v>
      </c>
      <c r="AL13" s="902">
        <f t="shared" si="1"/>
        <v>0</v>
      </c>
      <c r="AM13" s="902">
        <f t="shared" si="1"/>
        <v>4442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3931</v>
      </c>
      <c r="BD13" s="902">
        <f t="shared" si="1"/>
        <v>4191</v>
      </c>
      <c r="BE13" s="902">
        <f t="shared" si="1"/>
        <v>0</v>
      </c>
      <c r="BF13" s="902">
        <f t="shared" si="1"/>
        <v>0</v>
      </c>
      <c r="BG13" s="902">
        <f>IF(ISNUMBER(Datos!K13/Datos!J13),Datos!K13/Datos!J13," - ")</f>
        <v>0.78174538323255438</v>
      </c>
      <c r="BH13" s="906">
        <f>IF(ISNUMBER(((Datos!L13/Datos!K13)*11)/factor_trimestre),((Datos!L13/Datos!K13)*11)/factor_trimestre," - ")</f>
        <v>9.9123027072227448</v>
      </c>
      <c r="BI13" s="902">
        <f>IF(ISNUMBER('Resol  Asuntos'!D13/NºAsuntos!G13),'Resol  Asuntos'!D13/NºAsuntos!G13," - ")</f>
        <v>0.33858742463393626</v>
      </c>
      <c r="BJ13" s="902" t="str">
        <f>IF(ISNUMBER(Datos!CI13/Datos!CJ13),Datos!CI13/Datos!CJ13," - ")</f>
        <v xml:space="preserve"> - </v>
      </c>
      <c r="BK13" s="902">
        <f>SUBTOTAL(9,BK8:BK12)</f>
        <v>0</v>
      </c>
      <c r="BL13" s="902">
        <f>IF(ISNUMBER((I13-AB13+L13)/(F13)),(I13-AB13+L13)/(F13)," - ")</f>
        <v>-2.3518518518518516</v>
      </c>
      <c r="BM13" s="907">
        <f>SUBTOTAL(9,BM9:BM12)</f>
        <v>-0.41066967585166703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4490</v>
      </c>
      <c r="G15" s="601">
        <f>IF(ISNUMBER(IF(D_I="SI",Datos!I15,Datos!I15+Datos!AC15)),IF(D_I="SI",Datos!I15,Datos!I15+Datos!AC15)," - ")</f>
        <v>4364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575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15787</v>
      </c>
      <c r="AC15" s="229">
        <f>IF(ISNUMBER(Datos!Q15),Datos!Q15," - ")</f>
        <v>700</v>
      </c>
      <c r="AD15" s="337"/>
      <c r="AE15" s="487"/>
      <c r="AF15" s="599">
        <f>IF(ISNUMBER(IF(D_I="SI",Datos!L15,Datos!L15+Datos!AF15)),IF(D_I="SI",Datos!L15,Datos!L15+Datos!AF15)," - ")</f>
        <v>4592</v>
      </c>
      <c r="AG15" s="337"/>
      <c r="AH15" s="337"/>
      <c r="AI15" s="337"/>
      <c r="AJ15" s="337"/>
      <c r="AK15" s="337"/>
      <c r="AL15" s="482"/>
      <c r="AM15" s="338">
        <f>IF(ISNUMBER(Datos!R15),Datos!R15," - ")</f>
        <v>675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1950</v>
      </c>
      <c r="BD15" s="232">
        <f>IF(ISNUMBER(Datos!N15),Datos!N15," - ")</f>
        <v>7841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0.99358046447227644</v>
      </c>
      <c r="BH15" s="263">
        <f>IF(ISNUMBER(((IF(D_I="SI",Datos!L15/Datos!K15,(Datos!L15+Datos!AF15)/(Datos!K15+Datos!AE15)))*11)/factor_trimestre),((IF(D_I="SI",Datos!L15/Datos!K15,(Datos!L15+Datos!AF15)/(Datos!K15+Datos!AE15)))*11)/factor_trimestre," - ")</f>
        <v>3.1995946031544942</v>
      </c>
      <c r="BI15" s="246">
        <f>IF(ISNUMBER('Resol  Asuntos'!D15/NºAsuntos!G15),'Resol  Asuntos'!D15/NºAsuntos!G15," - ")</f>
        <v>0.12351935136504719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1370</v>
      </c>
      <c r="AC17" s="229">
        <f>IF(ISNUMBER(Datos!Q17),Datos!Q17," - ")</f>
        <v>4</v>
      </c>
      <c r="AD17" s="337"/>
      <c r="AE17" s="487"/>
      <c r="AF17" s="335">
        <f>IF(ISNUMBER(Datos!L17),Datos!L17,"-")</f>
        <v>265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148</v>
      </c>
      <c r="BD17" s="232">
        <f>IF(ISNUMBER(Datos!N17),Datos!N17," - ")</f>
        <v>488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0.98067287043664997</v>
      </c>
      <c r="BH17" s="263">
        <f>IF(ISNUMBER(((IF(D_I="SI",Datos!L17/Datos!K17,(Datos!L17+Datos!AF17)/(Datos!K17+Datos!AE17)))*11)/factor_trimestre),((IF(D_I="SI",Datos!L17/Datos!K17,(Datos!L17+Datos!AF17)/(Datos!K17+Datos!AE17)))*11)/factor_trimestre," - ")</f>
        <v>2.1277372262773726</v>
      </c>
      <c r="BI17" s="246">
        <f>IF(ISNUMBER('Resol  Asuntos'!D17/NºAsuntos!G17),'Resol  Asuntos'!D17/NºAsuntos!G17," - ")</f>
        <v>0.10802919708029197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4490</v>
      </c>
      <c r="G18" s="901">
        <f>SUBTOTAL(9,G15:G17)</f>
        <v>4592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17157</v>
      </c>
      <c r="AC18" s="902">
        <f t="shared" si="4"/>
        <v>704</v>
      </c>
      <c r="AD18" s="902">
        <f t="shared" si="4"/>
        <v>0</v>
      </c>
      <c r="AE18" s="902">
        <f t="shared" si="4"/>
        <v>0</v>
      </c>
      <c r="AF18" s="902">
        <f t="shared" si="4"/>
        <v>4857</v>
      </c>
      <c r="AG18" s="902">
        <f t="shared" si="4"/>
        <v>0</v>
      </c>
      <c r="AH18" s="902">
        <f t="shared" si="4"/>
        <v>0</v>
      </c>
      <c r="AI18" s="902">
        <f t="shared" si="4"/>
        <v>0</v>
      </c>
      <c r="AJ18" s="902">
        <f t="shared" si="4"/>
        <v>0</v>
      </c>
      <c r="AK18" s="902">
        <f t="shared" si="4"/>
        <v>0</v>
      </c>
      <c r="AL18" s="902">
        <f t="shared" si="4"/>
        <v>0</v>
      </c>
      <c r="AM18" s="902">
        <f t="shared" si="4"/>
        <v>676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2098</v>
      </c>
      <c r="BD18" s="902">
        <f t="shared" si="4"/>
        <v>8329</v>
      </c>
      <c r="BE18" s="902">
        <f t="shared" si="4"/>
        <v>0</v>
      </c>
      <c r="BF18" s="902">
        <f t="shared" si="4"/>
        <v>0</v>
      </c>
      <c r="BG18" s="902">
        <f>IF(ISNUMBER(Datos!K18/Datos!J18),Datos!K18/Datos!J18," - ")</f>
        <v>0.9925373134328358</v>
      </c>
      <c r="BH18" s="906">
        <f>IF(ISNUMBER(((Datos!L18/Datos!K18)*11)/factor_trimestre),((Datos!L18/Datos!K18)*11)/factor_trimestre," - ")</f>
        <v>3.1140059450952964</v>
      </c>
      <c r="BI18" s="902">
        <f>SUBTOTAL(9,BI15:BI17)</f>
        <v>0.23154854844533918</v>
      </c>
      <c r="BJ18" s="902">
        <f>SUBTOTAL(9,BJ15:BJ17)</f>
        <v>0</v>
      </c>
      <c r="BK18" s="902">
        <f>SUBTOTAL(9,BK15:BK17)</f>
        <v>0</v>
      </c>
      <c r="BL18" s="902">
        <f>IF(ISNUMBER((I18-AB18+L18)/(F18)),(I18-AB18+L18)/(F18)," - ")</f>
        <v>-3.8211581291759464</v>
      </c>
      <c r="BM18" s="908">
        <f>IF(ISNUMBER((Datos!P18-Datos!Q18)/(Datos!R18-Datos!P18+Datos!Q18)),(Datos!P18-Datos!Q18)/(Datos!R18-Datos!P18+Datos!Q18)," - ")</f>
        <v>-0.15920398009950248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4544</v>
      </c>
      <c r="G19" s="823">
        <f t="shared" si="6"/>
        <v>4646</v>
      </c>
      <c r="H19" s="825">
        <f t="shared" si="6"/>
        <v>0</v>
      </c>
      <c r="I19" s="823">
        <f t="shared" si="6"/>
        <v>0</v>
      </c>
      <c r="J19" s="825">
        <f t="shared" si="6"/>
        <v>0</v>
      </c>
      <c r="K19" s="825">
        <f t="shared" si="6"/>
        <v>0</v>
      </c>
      <c r="L19" s="884">
        <f t="shared" si="6"/>
        <v>0</v>
      </c>
      <c r="M19" s="884">
        <f t="shared" si="6"/>
        <v>0</v>
      </c>
      <c r="N19" s="884">
        <f t="shared" si="6"/>
        <v>2051</v>
      </c>
      <c r="O19" s="884">
        <f t="shared" si="6"/>
        <v>0</v>
      </c>
      <c r="P19" s="884">
        <f t="shared" si="6"/>
        <v>0</v>
      </c>
      <c r="Q19" s="825">
        <f t="shared" si="6"/>
        <v>2404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17284</v>
      </c>
      <c r="AC19" s="824">
        <f t="shared" si="7"/>
        <v>3063</v>
      </c>
      <c r="AD19" s="824">
        <f t="shared" si="7"/>
        <v>0</v>
      </c>
      <c r="AE19" s="824">
        <f t="shared" si="7"/>
        <v>0</v>
      </c>
      <c r="AF19" s="831">
        <f t="shared" si="7"/>
        <v>4934</v>
      </c>
      <c r="AG19" s="831">
        <f t="shared" si="7"/>
        <v>0</v>
      </c>
      <c r="AH19" s="831">
        <f t="shared" si="7"/>
        <v>137</v>
      </c>
      <c r="AI19" s="831">
        <f t="shared" si="7"/>
        <v>0</v>
      </c>
      <c r="AJ19" s="824">
        <f t="shared" si="7"/>
        <v>0</v>
      </c>
      <c r="AK19" s="831">
        <f t="shared" si="7"/>
        <v>0</v>
      </c>
      <c r="AL19" s="831">
        <f t="shared" si="7"/>
        <v>0</v>
      </c>
      <c r="AM19" s="831">
        <f t="shared" si="7"/>
        <v>5118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6029</v>
      </c>
      <c r="BD19" s="823">
        <f t="shared" si="7"/>
        <v>12520</v>
      </c>
      <c r="BE19" s="823">
        <f t="shared" si="7"/>
        <v>0</v>
      </c>
      <c r="BF19" s="833">
        <f t="shared" si="7"/>
        <v>0</v>
      </c>
      <c r="BG19" s="918">
        <f>IF(ISNUMBER(Datos!K19/Datos!J19),Datos!K19/Datos!J19," - ")</f>
        <v>0.90516190218127623</v>
      </c>
      <c r="BH19" s="918">
        <f>IF(ISNUMBER(((Datos!L19/Datos!K19)*11)/factor_trimestre),((Datos!L19/Datos!K19)*11)/factor_trimestre," - ")</f>
        <v>5.5477473432120945</v>
      </c>
      <c r="BI19" s="816">
        <f>IF(ISNUMBER(Datos!J19/Datos!I19),Datos!J19/Datos!I19," - ")</f>
        <v>2.4259654889071487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-3.8036971830985915</v>
      </c>
      <c r="BM19" s="892">
        <f>IF(ISNUMBER((Datos!P19-Datos!Q19+R19)/(Datos!R19-Datos!P19+Datos!Q19-R19)),(Datos!P19-Datos!Q19+R19)/(Datos!R19-Datos!P19+Datos!Q19-R19)," - ")</f>
        <v>-0.11407304829496279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3.2403703492039302</v>
      </c>
      <c r="F21" s="554">
        <f>IF(ISNUMBER(STDEV(F8:F18)),STDEV(F8:F18),"-")</f>
        <v>2561.1257941251797</v>
      </c>
      <c r="G21" s="555">
        <f>IF(ISNUMBER(STDEV(G8:G18)),STDEV(G8:G18),"-")</f>
        <v>2393.7691618032009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8753.739932166136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1543.9352163808403</v>
      </c>
      <c r="BD21" s="554"/>
      <c r="BE21" s="554">
        <f>IF(ISNUMBER(STDEV(BE8:BE18)),STDEV(BE8:BE18),"-")</f>
        <v>0</v>
      </c>
      <c r="BF21" s="559">
        <f>IF(ISNUMBER(STDEV(BF8:BF18)),STDEV(BF8:BF18),"-")</f>
        <v>0</v>
      </c>
      <c r="BG21" s="778">
        <f>IF(ISNUMBER(STDEV(BG8:BG18)),STDEV(BG8:BG18),"-")</f>
        <v>0.11542487014715609</v>
      </c>
      <c r="BH21" s="779">
        <f>IF(ISNUMBER(STDEV(BH8:BH18)),STDEV(BH8:BH18),"-")</f>
        <v>3.5580121578256958</v>
      </c>
      <c r="BI21" s="252">
        <f>IF(ISNUMBER(STDEV(BI8:BI18)),STDEV(BI8:BI18),"-")</f>
        <v>0.10725203024931824</v>
      </c>
      <c r="BJ21" s="233" t="str">
        <f>IF(ISNUMBER(BL21/BM21),BL21/BM21," - ")</f>
        <v xml:space="preserve"> - </v>
      </c>
      <c r="BK21" s="578"/>
      <c r="BL21" s="562">
        <f>IF(ISNUMBER(STDEV(BL8:BL18)),STDEV(BL8:BL18),"-")</f>
        <v>1.0389564323358298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EEW68ufoSw/O7twA4HJjc1Qytcvr1V3d/MLj5xOwk/nXqzJOfnjg/2HBwX19HRm4ZtVdZH7kTXle2oRq/v2sg==" saltValue="9oUIc02e9Ne6cBTT+2P8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DONOSTIA-SAN SEBASTIAN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1640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1950</v>
      </c>
      <c r="AA9" s="335" t="str">
        <f>IF(ISNUMBER(IF(J_V="SI",Datos!L9,Datos!L9+Datos!AB9)-IF(Monitorios="SI",Datos!CD9,0)),
                          IF(J_V="SI",Datos!L9,Datos!L9+Datos!AB9)-IF(Monitorios="SI",Datos!CD9,0),
                          " - ")</f>
        <v xml:space="preserve"> - </v>
      </c>
      <c r="AB9" s="337"/>
      <c r="AC9" s="337"/>
      <c r="AD9" s="487"/>
      <c r="AE9" s="487">
        <f>IF(ISNUMBER(Datos!R9),Datos!R9," - ")</f>
        <v>3882</v>
      </c>
      <c r="AF9" s="232" t="str">
        <f>IF(ISNUMBER(Datos!BV9),Datos!BV9," - ")</f>
        <v xml:space="preserve"> - </v>
      </c>
      <c r="AG9" s="228" t="str">
        <f>IF(ISNUMBER(Datos!DV9),Datos!DV9," - ")</f>
        <v xml:space="preserve"> - </v>
      </c>
      <c r="AH9" s="301"/>
      <c r="AI9" s="230"/>
      <c r="AJ9" s="228">
        <f>IF(ISNUMBER(Datos!M9),Datos!M9," - ")</f>
        <v>3333</v>
      </c>
      <c r="AK9" s="232">
        <f>IF(ISNUMBER(Datos!N9),Datos!N9," - ")</f>
        <v>2006</v>
      </c>
      <c r="AL9" s="232" t="str">
        <f>IF(ISNUMBER(Datos!BW9),Datos!BW9," - ")</f>
        <v xml:space="preserve"> - </v>
      </c>
      <c r="AM9" s="231" t="str">
        <f>IF(ISNUMBER(Datos!BX9),Datos!BX9," - ")</f>
        <v xml:space="preserve"> - </v>
      </c>
      <c r="AN9" s="246"/>
      <c r="AO9" s="263">
        <f>IF(ISNUMBER(((NºAsuntos!I9/NºAsuntos!G9)*11)/factor_trimestre),((NºAsuntos!I9/NºAsuntos!G9)*11)/factor_trimestre," - ")</f>
        <v>10.320275154482919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-7.3950381679389318E-2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54</v>
      </c>
      <c r="G10" s="228">
        <f>IF(ISNUMBER(Datos!I10),Datos!I10," - ")</f>
        <v>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127</v>
      </c>
      <c r="Z10" s="622">
        <f>IF(ISNUMBER(Datos!Q10),Datos!Q10," - ")</f>
        <v>39</v>
      </c>
      <c r="AA10" s="335">
        <f>IF(ISNUMBER(Datos!L10),Datos!L10,"-")</f>
        <v>77</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68</v>
      </c>
      <c r="AK10" s="232">
        <f>IF(ISNUMBER(Datos!N10),Datos!N10," - ")</f>
        <v>45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6.6692913385826778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-2.7397260273972601E-2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151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370</v>
      </c>
      <c r="AA11" s="335" t="str">
        <f>IF(ISNUMBER(IF(J_V="SI",Datos!L11,Datos!L11+Datos!AB11)-IF(Monitorios="SI",Datos!CD11,0)),
                          IF(J_V="SI",Datos!L11,Datos!L11+Datos!AB11)-IF(Monitorios="SI",Datos!CD11,0),
                          " - ")</f>
        <v xml:space="preserve"> - </v>
      </c>
      <c r="AB11" s="337"/>
      <c r="AC11" s="337"/>
      <c r="AD11" s="487"/>
      <c r="AE11" s="487">
        <f>IF(ISNUMBER(Datos!R11),Datos!R11," - ")</f>
        <v>489</v>
      </c>
      <c r="AF11" s="232" t="str">
        <f>IF(ISNUMBER(Datos!BV11),Datos!BV11," - ")</f>
        <v xml:space="preserve"> - </v>
      </c>
      <c r="AG11" s="228" t="str">
        <f>IF(ISNUMBER(Datos!DV11),Datos!DV11," - ")</f>
        <v xml:space="preserve"> - </v>
      </c>
      <c r="AH11" s="301"/>
      <c r="AI11" s="230"/>
      <c r="AJ11" s="228">
        <f>IF(ISNUMBER(Datos!M11),Datos!M11," - ")</f>
        <v>530</v>
      </c>
      <c r="AK11" s="232">
        <f>IF(ISNUMBER(Datos!N11),Datos!N11," - ")</f>
        <v>2140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2.3998623537508603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-0.30932203389830509</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54</v>
      </c>
      <c r="G13" s="901">
        <f>SUBTOTAL(9,G8:G12)</f>
        <v>54</v>
      </c>
      <c r="H13" s="911"/>
      <c r="I13" s="901">
        <f t="shared" ref="I13:N13" si="0">SUBTOTAL(9,I8:I12)</f>
        <v>0</v>
      </c>
      <c r="J13" s="870">
        <f t="shared" si="0"/>
        <v>0</v>
      </c>
      <c r="K13" s="911">
        <f t="shared" si="0"/>
        <v>0</v>
      </c>
      <c r="L13" s="911">
        <f t="shared" si="0"/>
        <v>0</v>
      </c>
      <c r="M13" s="911">
        <f t="shared" si="0"/>
        <v>0</v>
      </c>
      <c r="N13" s="911">
        <f t="shared" si="0"/>
        <v>1828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127</v>
      </c>
      <c r="Z13" s="910">
        <f t="shared" si="2"/>
        <v>2359</v>
      </c>
      <c r="AA13" s="903">
        <f t="shared" si="2"/>
        <v>77</v>
      </c>
      <c r="AB13" s="903">
        <f t="shared" si="2"/>
        <v>0</v>
      </c>
      <c r="AC13" s="903">
        <f t="shared" si="2"/>
        <v>0</v>
      </c>
      <c r="AD13" s="903">
        <f t="shared" si="2"/>
        <v>0</v>
      </c>
      <c r="AE13" s="903">
        <f t="shared" si="2"/>
        <v>4442</v>
      </c>
      <c r="AF13" s="911">
        <f t="shared" si="2"/>
        <v>0</v>
      </c>
      <c r="AG13" s="911">
        <f t="shared" si="2"/>
        <v>0</v>
      </c>
      <c r="AH13" s="911">
        <f t="shared" si="2"/>
        <v>0</v>
      </c>
      <c r="AI13" s="911">
        <f t="shared" si="2"/>
        <v>0</v>
      </c>
      <c r="AJ13" s="911">
        <f t="shared" si="2"/>
        <v>3931</v>
      </c>
      <c r="AK13" s="911">
        <f t="shared" si="2"/>
        <v>4191</v>
      </c>
      <c r="AL13" s="911">
        <f t="shared" si="2"/>
        <v>0</v>
      </c>
      <c r="AM13" s="911">
        <f t="shared" si="2"/>
        <v>0</v>
      </c>
      <c r="AN13" s="911">
        <f t="shared" si="2"/>
        <v>0</v>
      </c>
      <c r="AO13" s="907">
        <f>IF(ISNUMBER(((NºAsuntos!I13/NºAsuntos!G13)*11)/factor_trimestre),((NºAsuntos!I13/NºAsuntos!G13)*11)/factor_trimestre," - ")</f>
        <v>8.2978466838931961</v>
      </c>
      <c r="AP13" s="913" t="str">
        <f>IF(ISNUMBER(Datos!CI13/Datos!CJ13),Datos!CI13/Datos!CJ13," - ")</f>
        <v xml:space="preserve"> - </v>
      </c>
      <c r="AQ13" s="931">
        <f t="shared" ref="AQ13:AV13" si="3">SUBTOTAL(9,AQ9:AQ12)</f>
        <v>0</v>
      </c>
      <c r="AR13" s="931">
        <f t="shared" si="3"/>
        <v>-0.41066967585166703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4490</v>
      </c>
      <c r="G15" s="228">
        <f>IF(ISNUMBER(IF(D_I="SI",Datos!I15,Datos!I15+Datos!AC15)),IF(D_I="SI",Datos!I15,Datos!I15+Datos!AC15)," - ")</f>
        <v>4364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575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15787</v>
      </c>
      <c r="Z15" s="622">
        <f>IF(ISNUMBER(Datos!Q15),Datos!Q15," - ")</f>
        <v>700</v>
      </c>
      <c r="AA15" s="335">
        <f>IF(ISNUMBER(IF(D_I="SI",Datos!L15,Datos!L15+Datos!AF15)),IF(D_I="SI",Datos!L15,Datos!L15+Datos!AF15)," - ")</f>
        <v>4592</v>
      </c>
      <c r="AB15" s="337"/>
      <c r="AC15" s="337"/>
      <c r="AD15" s="487"/>
      <c r="AE15" s="487">
        <f>IF(ISNUMBER(Datos!R15),Datos!R15," - ")</f>
        <v>675</v>
      </c>
      <c r="AF15" s="232" t="str">
        <f>IF(ISNUMBER(Datos!BV15),Datos!BV15," - ")</f>
        <v xml:space="preserve"> - </v>
      </c>
      <c r="AG15" s="228"/>
      <c r="AH15" s="301"/>
      <c r="AI15" s="230"/>
      <c r="AJ15" s="228">
        <f>IF(ISNUMBER(Datos!M15),Datos!M15," - ")</f>
        <v>1950</v>
      </c>
      <c r="AK15" s="232">
        <f>IF(ISNUMBER(Datos!N15),Datos!N15," - ")</f>
        <v>7841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3.1995946031544942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1370</v>
      </c>
      <c r="Z17" s="622">
        <f>IF(ISNUMBER(Datos!Q17),Datos!Q17," - ")</f>
        <v>4</v>
      </c>
      <c r="AA17" s="335">
        <f>IF(ISNUMBER(Datos!L17),Datos!L17,"-")</f>
        <v>265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148</v>
      </c>
      <c r="AK17" s="232">
        <f>IF(ISNUMBER(Datos!N17),Datos!N17," - ")</f>
        <v>488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2.1277372262773726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4490</v>
      </c>
      <c r="G18" s="901">
        <f>SUBTOTAL(9,G15:G17)</f>
        <v>4592</v>
      </c>
      <c r="H18" s="935">
        <f>SUBTOTAL(9,H15:H17)</f>
        <v>0</v>
      </c>
      <c r="I18" s="914">
        <f>SUBTOTAL(9,I15:I17)</f>
        <v>0</v>
      </c>
      <c r="J18" s="870">
        <f>SUBTOTAL(9,J14:J17)</f>
        <v>0</v>
      </c>
      <c r="K18" s="935">
        <f t="shared" ref="K18:S18" si="4">SUBTOTAL(9,K15:K17)</f>
        <v>0</v>
      </c>
      <c r="L18" s="935">
        <f t="shared" si="4"/>
        <v>0</v>
      </c>
      <c r="M18" s="935">
        <f t="shared" si="4"/>
        <v>0</v>
      </c>
      <c r="N18" s="935">
        <f t="shared" si="4"/>
        <v>576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17157</v>
      </c>
      <c r="Z18" s="935">
        <f t="shared" si="5"/>
        <v>704</v>
      </c>
      <c r="AA18" s="935">
        <f t="shared" si="5"/>
        <v>4857</v>
      </c>
      <c r="AB18" s="935">
        <f t="shared" si="5"/>
        <v>0</v>
      </c>
      <c r="AC18" s="935">
        <f t="shared" si="5"/>
        <v>0</v>
      </c>
      <c r="AD18" s="935">
        <f t="shared" si="5"/>
        <v>0</v>
      </c>
      <c r="AE18" s="935">
        <f t="shared" si="5"/>
        <v>676</v>
      </c>
      <c r="AF18" s="935">
        <f t="shared" si="5"/>
        <v>0</v>
      </c>
      <c r="AG18" s="935">
        <f t="shared" si="5"/>
        <v>0</v>
      </c>
      <c r="AH18" s="935">
        <f t="shared" si="5"/>
        <v>0</v>
      </c>
      <c r="AI18" s="935">
        <f t="shared" si="5"/>
        <v>0</v>
      </c>
      <c r="AJ18" s="935">
        <f t="shared" si="5"/>
        <v>2098</v>
      </c>
      <c r="AK18" s="935">
        <f t="shared" si="5"/>
        <v>8329</v>
      </c>
      <c r="AL18" s="935">
        <f t="shared" si="5"/>
        <v>0</v>
      </c>
      <c r="AM18" s="935">
        <f t="shared" si="5"/>
        <v>0</v>
      </c>
      <c r="AN18" s="935">
        <f t="shared" si="5"/>
        <v>0</v>
      </c>
      <c r="AO18" s="937">
        <f>IF(ISNUMBER(((NºAsuntos!I18/NºAsuntos!G18)*11)/factor_trimestre),((NºAsuntos!I18/NºAsuntos!G18)*11)/factor_trimestre," - ")</f>
        <v>3.1140059450952964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4544</v>
      </c>
      <c r="G19" s="823">
        <f t="shared" si="7"/>
        <v>4646</v>
      </c>
      <c r="H19" s="824">
        <f t="shared" si="7"/>
        <v>0</v>
      </c>
      <c r="I19" s="823">
        <f t="shared" si="7"/>
        <v>0</v>
      </c>
      <c r="J19" s="825">
        <f t="shared" si="7"/>
        <v>0</v>
      </c>
      <c r="K19" s="823">
        <f t="shared" si="7"/>
        <v>0</v>
      </c>
      <c r="L19" s="826">
        <f t="shared" si="7"/>
        <v>0</v>
      </c>
      <c r="M19" s="823">
        <f t="shared" si="7"/>
        <v>0</v>
      </c>
      <c r="N19" s="824">
        <f t="shared" si="7"/>
        <v>2404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17284</v>
      </c>
      <c r="Z19" s="830">
        <f t="shared" si="8"/>
        <v>3063</v>
      </c>
      <c r="AA19" s="831">
        <f t="shared" si="8"/>
        <v>4934</v>
      </c>
      <c r="AB19" s="831">
        <f t="shared" si="8"/>
        <v>0</v>
      </c>
      <c r="AC19" s="831">
        <f t="shared" si="8"/>
        <v>0</v>
      </c>
      <c r="AD19" s="832">
        <f t="shared" si="8"/>
        <v>0</v>
      </c>
      <c r="AE19" s="832">
        <f t="shared" si="8"/>
        <v>5118</v>
      </c>
      <c r="AF19" s="833">
        <f t="shared" si="8"/>
        <v>0</v>
      </c>
      <c r="AG19" s="834">
        <f t="shared" si="8"/>
        <v>0</v>
      </c>
      <c r="AH19" s="835">
        <f t="shared" si="8"/>
        <v>0</v>
      </c>
      <c r="AI19" s="833">
        <f t="shared" si="8"/>
        <v>0</v>
      </c>
      <c r="AJ19" s="823">
        <f t="shared" si="8"/>
        <v>6029</v>
      </c>
      <c r="AK19" s="823">
        <f t="shared" si="8"/>
        <v>12520</v>
      </c>
      <c r="AL19" s="823">
        <f t="shared" si="8"/>
        <v>0</v>
      </c>
      <c r="AM19" s="836">
        <f t="shared" si="8"/>
        <v>0</v>
      </c>
      <c r="AN19" s="826">
        <f>IF(ISNUMBER(Datos!K19/Datos!J19),Datos!K19/Datos!J19," - ")</f>
        <v>0.90516190218127623</v>
      </c>
      <c r="AO19" s="826">
        <f>IF(ISNUMBER(FIND("06",Criterios!A8,1)),(IF(ISNUMBER(((Datos!R19/Datos!Q19)*11)/factor_trimestre),((Datos!R19/Datos!Q19)*11)/factor_trimestre," - ")),(IF(ISNUMBER(((Datos!L19/Datos!K19)*11)/factor_trimestre),((Datos!L19/Datos!K19)*11)/factor_trimestre," - ")))</f>
        <v>5.5477473432120945</v>
      </c>
      <c r="AP19" s="837" t="str">
        <f>IF(ISNUMBER(Datos!CI19/Datos!CJ19),Datos!CI19/Datos!CJ19," - ")</f>
        <v xml:space="preserve"> - </v>
      </c>
      <c r="AQ19" s="837">
        <f>IF(OR(ISNUMBER(FIND("01",Criterios!A8,1)),ISNUMBER(FIND("02",Criterios!A8,1)),ISNUMBER(FIND("03",Criterios!A8,1)),ISNUMBER(FIND("04",Criterios!A8,1))),(J19-Y19+K19)/(F19-K19),(I19-Y19+K19)/(F19-K19))</f>
        <v>-3.8036971830985915</v>
      </c>
      <c r="AR19" s="837">
        <f>IF(ISNUMBER((Datos!P19-Datos!Q19+O19)/(Datos!R19-Datos!P19+Datos!Q19-O19)),(Datos!P19-Datos!Q19+O19)/(Datos!R19-Datos!P19+Datos!Q19-O19)," - ")</f>
        <v>-0.11407304829496279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2561.1257941251797</v>
      </c>
      <c r="G21" s="555">
        <f>IF(ISNUMBER(STDEV(G8:G18)),STDEV(G8:G18),"-")</f>
        <v>2393.7691618032009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1543.9352163808403</v>
      </c>
      <c r="AK21" s="255"/>
      <c r="AL21" s="255">
        <f>IF(ISNUMBER(STDEV(AL8:AL18)),STDEV(AL8:AL18),"-")</f>
        <v>0</v>
      </c>
      <c r="AM21" s="257">
        <f>IF(ISNUMBER(STDEV(AM8:AM18)),STDEV(AM8:AM18),"-")</f>
        <v>0</v>
      </c>
      <c r="AN21" s="542">
        <f>IF(ISNUMBER(STDEV(AN8:AN18)),STDEV(AN8:AN18),"-")</f>
        <v>0</v>
      </c>
      <c r="AO21" s="543">
        <f>IF(ISNUMBER(STDEV(AO8:AO18)),STDEV(AO8:AO18),"-")</f>
        <v>3.2556292165958141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Qg3kCtxLx+4Fz3atltlA3kISyxV/d1bKDkD3JT4gc62TVUEtWVLbP/K512t1/ZkN4+OMBRw594r7+uBBan9XA==" saltValue="Jc7AJ9t4xKU8tykEv1JV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8Zk/7z14DGoIZJ/Ji/8QBE/Ya4UeHVYNctuKeGu1B49w8r7a1m9Q4Fkky6tJVXLU2SfRw1m/MH1LWeR8+Ndiw==" saltValue="Oa94Co/kLwjltkFSM3K3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dUpYAtdkifbWuSDB3hPYH6ogJ2JVPPnqSTu8x5X8C4zl8yYqAt3D3bw2k72rCKQ7Z/IK5TjsQgpFhDrIH/KKw==" saltValue="jUcZN0QdX+KTnPIHJhVw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DONOSTIA-SAN SEBASTIAN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0.33858742463393626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0.23941746398314542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MCHlC+N15j+7UhAj3B24Tl85NFpmOpRcAZroKLww/8szZ5X9jYRNtxdPhWMs7zM+TF2A0iJpOgl5GedOqAZg==" saltValue="tndZYW1w1hT+OQHkSaky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wzR2aBGjTpbYZXahtifA+YoafPrY66U7Z+fZh4DaimHVjquSDz3Plsb6F8BHTepjARdKOxf0GCvPJl1rdVqWA==" saltValue="ZKmzW73GKXkMdM+67HtG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DONOSTIA-SAN SEBASTIAN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6877</v>
      </c>
      <c r="D9" s="407">
        <f>IF(ISNUMBER(C9/Datos!BH9),C9/Datos!BH9," - ")</f>
        <v>1146.1666666666667</v>
      </c>
      <c r="E9" s="406">
        <f>IF(ISNUMBER(IF(J_V="SI",Datos!J9,Datos!J9+Datos!Z9)),IF(J_V="SI",Datos!J9,Datos!J9+Datos!Z9)," - ")</f>
        <v>11346</v>
      </c>
      <c r="F9" s="407">
        <f>IF(ISNUMBER(E9/B9),E9/B9," - ")</f>
        <v>1891</v>
      </c>
      <c r="G9" s="406">
        <f>IF(ISNUMBER(IF(J_V="SI",Datos!K9,Datos!K9+Datos!AA9)),IF(J_V="SI",Datos!K9,Datos!K9+Datos!AA9)," - ")</f>
        <v>8577</v>
      </c>
      <c r="H9" s="407">
        <f>IF(ISNUMBER(G9/B9),G9/B9," - ")</f>
        <v>1429.5</v>
      </c>
      <c r="I9" s="406">
        <f>IF(ISNUMBER(IF(J_V="SI",Datos!L9,Datos!L9+Datos!AB9)),IF(J_V="SI",Datos!L9,Datos!L9+Datos!AB9)," - ")</f>
        <v>8047</v>
      </c>
      <c r="J9" s="407">
        <f>IF(ISNUMBER(I9/B9),I9/B9," - ")</f>
        <v>1341.1666666666667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54</v>
      </c>
      <c r="D10" s="407">
        <f>IF(ISNUMBER(C10/Datos!BH10),C10/Datos!BH10," - ")</f>
        <v>54</v>
      </c>
      <c r="E10" s="406">
        <f>IF(ISNUMBER(Datos!J10),Datos!J10," - ")</f>
        <v>150</v>
      </c>
      <c r="F10" s="407">
        <f>IF(ISNUMBER(E10/B10),E10/B10," - ")</f>
        <v>150</v>
      </c>
      <c r="G10" s="406">
        <f>IF(ISNUMBER(Datos!K10),Datos!K10," - ")</f>
        <v>127</v>
      </c>
      <c r="H10" s="407">
        <f>IF(ISNUMBER(G10/B10),G10/B10," - ")</f>
        <v>127</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776</v>
      </c>
      <c r="D11" s="407">
        <f>IF(ISNUMBER(C11/Datos!BH11),C11/Datos!BH11," - ")</f>
        <v>388</v>
      </c>
      <c r="E11" s="406">
        <f>IF(ISNUMBER(IF(J_V="SI",Datos!J11,Datos!J11+Datos!Z11)),IF(J_V="SI",Datos!J11,Datos!J11+Datos!Z11)," - ")</f>
        <v>2793</v>
      </c>
      <c r="F11" s="407">
        <f>IF(ISNUMBER(E11/B11),E11/B11," - ")</f>
        <v>1396.5</v>
      </c>
      <c r="G11" s="406">
        <f>IF(ISNUMBER(IF(J_V="SI",Datos!K11,Datos!K11+Datos!AA11)),IF(J_V="SI",Datos!K11,Datos!K11+Datos!AA11)," - ")</f>
        <v>2906</v>
      </c>
      <c r="H11" s="407">
        <f>IF(ISNUMBER(G11/B11),G11/B11," - ")</f>
        <v>1453</v>
      </c>
      <c r="I11" s="406">
        <f>IF(ISNUMBER(IF(J_V="SI",Datos!L11,Datos!L11+Datos!AB11)),IF(J_V="SI",Datos!L11,Datos!L11+Datos!AB11)," - ")</f>
        <v>634</v>
      </c>
      <c r="J11" s="407">
        <f>IF(ISNUMBER(I11/B11),I11/B11," - ")</f>
        <v>317</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7707</v>
      </c>
      <c r="D13" s="853" t="str">
        <f>IF(ISNUMBER(C13/Datos!BI13),C13/Datos!BI13," - ")</f>
        <v xml:space="preserve"> - </v>
      </c>
      <c r="E13" s="852">
        <f>SUBTOTAL(9,E8:E12)</f>
        <v>14289</v>
      </c>
      <c r="F13" s="853">
        <f>IF(ISNUMBER(E13/B13),E13/B13," - ")</f>
        <v>1587.6666666666667</v>
      </c>
      <c r="G13" s="852">
        <f>SUBTOTAL(9,G8:G12)</f>
        <v>11610</v>
      </c>
      <c r="H13" s="853">
        <f>IF(ISNUMBER(G13/B13),G13/B13," - ")</f>
        <v>1290</v>
      </c>
      <c r="I13" s="852">
        <f>SUBTOTAL(9,I8:I12)</f>
        <v>8758</v>
      </c>
      <c r="J13" s="853">
        <f>IF(ISNUMBER(I13/B13),I13/B13," - ")</f>
        <v>973.11111111111109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4364</v>
      </c>
      <c r="D15" s="407">
        <f>IF(ISNUMBER(C15/Datos!BH15),C15/Datos!BH15," - ")</f>
        <v>872.8</v>
      </c>
      <c r="E15" s="406">
        <f>IF(ISNUMBER(IF(D_I="SI",Datos!J15,Datos!J15+Datos!AD15)),IF(D_I="SI",Datos!J15,Datos!J15+Datos!AD15)," - ")</f>
        <v>15889</v>
      </c>
      <c r="F15" s="407">
        <f>IF(ISNUMBER(E15/B15),E15/B15," - ")</f>
        <v>3177.8</v>
      </c>
      <c r="G15" s="406">
        <f>IF(ISNUMBER(IF(D_I="SI",Datos!K15,Datos!K15+Datos!AE15)),IF(D_I="SI",Datos!K15,Datos!K15+Datos!AE15)," - ")</f>
        <v>15787</v>
      </c>
      <c r="H15" s="407">
        <f>IF(ISNUMBER(G15/B15),G15/B15," - ")</f>
        <v>3157.4</v>
      </c>
      <c r="I15" s="406">
        <f>IF(ISNUMBER(IF(D_I="SI",Datos!L15,Datos!L15+Datos!AF15)),IF(D_I="SI",Datos!L15,Datos!L15+Datos!AF15)," - ")</f>
        <v>4592</v>
      </c>
      <c r="J15" s="407">
        <f>IF(ISNUMBER(I15/B15),I15/B15," - ")</f>
        <v>918.4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228</v>
      </c>
      <c r="D17" s="407">
        <f>IF(ISNUMBER(C17/Datos!BH17),C17/Datos!BH17," - ")</f>
        <v>228</v>
      </c>
      <c r="E17" s="406">
        <f>IF(ISNUMBER(IF(D_I="SI",Datos!J17,Datos!J17+Datos!AD17)),IF(D_I="SI",Datos!J17,Datos!J17+Datos!AD17)," - ")</f>
        <v>1397</v>
      </c>
      <c r="F17" s="407">
        <f>IF(ISNUMBER(E17/B17),E17/B17," - ")</f>
        <v>1397</v>
      </c>
      <c r="G17" s="406">
        <f>IF(ISNUMBER(IF(D_I="SI",Datos!K17,Datos!K17+Datos!AE17)),IF(D_I="SI",Datos!K17,Datos!K17+Datos!AE17)," - ")</f>
        <v>1370</v>
      </c>
      <c r="H17" s="407">
        <f>IF(ISNUMBER(G17/B17),G17/B17," - ")</f>
        <v>1370</v>
      </c>
      <c r="I17" s="406">
        <f>IF(ISNUMBER(IF(D_I="SI",Datos!L17,Datos!L17+Datos!AF17)),IF(D_I="SI",Datos!L17,Datos!L17+Datos!AF17)," - ")</f>
        <v>265</v>
      </c>
      <c r="J17" s="407">
        <f>IF(ISNUMBER(I17/B17),I17/B17," - ")</f>
        <v>265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4592</v>
      </c>
      <c r="D18" s="853" t="str">
        <f>IF(ISNUMBER(C18/Datos!BI18),C18/Datos!BI18," - ")</f>
        <v xml:space="preserve"> - </v>
      </c>
      <c r="E18" s="852">
        <f>SUBTOTAL(9,E14:E17)</f>
        <v>17286</v>
      </c>
      <c r="F18" s="853">
        <f>IF(ISNUMBER(E18/B18),E18/B18," - ")</f>
        <v>2881</v>
      </c>
      <c r="G18" s="852">
        <f>SUBTOTAL(9,G14:G17)</f>
        <v>17157</v>
      </c>
      <c r="H18" s="853">
        <f>IF(ISNUMBER(G18/B18),G18/B18," - ")</f>
        <v>2859.5</v>
      </c>
      <c r="I18" s="852">
        <f>SUBTOTAL(9,I14:I17)</f>
        <v>4857</v>
      </c>
      <c r="J18" s="853">
        <f>IF(ISNUMBER(I18/B18),I18/B18," - ")</f>
        <v>809.5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12299</v>
      </c>
      <c r="D19" s="798" t="str">
        <f>IF(ISNUMBER(C19/Datos!BI19),C19/Datos!BI19," - ")</f>
        <v xml:space="preserve"> - </v>
      </c>
      <c r="E19" s="797">
        <f>SUBTOTAL(9,E9:E18)</f>
        <v>31575</v>
      </c>
      <c r="F19" s="798">
        <f>IF(ISNUMBER(E19/B19),E19/B19," - ")</f>
        <v>2255.3571428571427</v>
      </c>
      <c r="G19" s="797">
        <f>SUBTOTAL(9,G9:G18)</f>
        <v>28767</v>
      </c>
      <c r="H19" s="798">
        <f>IF(ISNUMBER(G19/B19),G19/B19," - ")</f>
        <v>2054.7857142857142</v>
      </c>
      <c r="I19" s="797">
        <f>SUBTOTAL(9,I9:I18)</f>
        <v>13615</v>
      </c>
      <c r="J19" s="798">
        <f>IF(ISNUMBER(I19/B19),I19/B19," - ")</f>
        <v>972.5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tDEvCaiW3AxZEhIPH7ntzEPXl8JYps9oy30di9/27r3Y/C7qov9bPHcllTW/CkcOHmFbwgpYVqZI2ki6TXboQ==" saltValue="iyHTO2FRQFuqDyeRP+wi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DONOSTIA-SAN SEBASTIAN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54</v>
      </c>
      <c r="G10" s="687">
        <f>IF(ISNUMBER(Datos!I10),Datos!I10," - ")</f>
        <v>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127</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68</v>
      </c>
      <c r="AM10" s="693">
        <f>IF(ISNUMBER(Datos!N10+DatosP!N17),Datos!N10+DatosP!N17," - ")</f>
        <v>45</v>
      </c>
      <c r="AN10" s="693">
        <f>IF(ISNUMBER(Datos!BW10+DatosP!BW17),Datos!BW10+DatosP!BW17," - ")</f>
        <v>0</v>
      </c>
      <c r="AO10" s="694">
        <f>IF(ISNUMBER(Datos!BX10+DatosP!BX17),Datos!BX10+DatosP!BX17," - ")</f>
        <v>0</v>
      </c>
      <c r="AP10" s="696">
        <f>IF(ISNUMBER(((Datos!L10/Datos!K10)*11)/factor_trimestre),((Datos!L10/Datos!K10)*11)/factor_trimestre," - ")</f>
        <v>6.6692913385826778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54</v>
      </c>
      <c r="G13" s="941">
        <f t="shared" si="0"/>
        <v>54</v>
      </c>
      <c r="H13" s="941">
        <f t="shared" si="0"/>
        <v>0</v>
      </c>
      <c r="I13" s="943">
        <f t="shared" si="0"/>
        <v>0</v>
      </c>
      <c r="J13" s="942">
        <f t="shared" si="0"/>
        <v>0</v>
      </c>
      <c r="K13" s="942">
        <f t="shared" si="0"/>
        <v>0</v>
      </c>
      <c r="L13" s="944">
        <f t="shared" si="0"/>
        <v>0</v>
      </c>
      <c r="M13" s="944">
        <f t="shared" si="0"/>
        <v>0</v>
      </c>
      <c r="N13" s="942">
        <f t="shared" si="0"/>
        <v>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127</v>
      </c>
      <c r="AC13" s="942">
        <f t="shared" si="1"/>
        <v>0</v>
      </c>
      <c r="AD13" s="942">
        <f t="shared" si="1"/>
        <v>0</v>
      </c>
      <c r="AE13" s="942">
        <f t="shared" si="1"/>
        <v>0</v>
      </c>
      <c r="AF13" s="942">
        <f t="shared" si="1"/>
        <v>77</v>
      </c>
      <c r="AG13" s="942">
        <f t="shared" si="1"/>
        <v>0</v>
      </c>
      <c r="AH13" s="942">
        <f t="shared" si="1"/>
        <v>0</v>
      </c>
      <c r="AI13" s="942">
        <f t="shared" si="1"/>
        <v>0</v>
      </c>
      <c r="AJ13" s="942">
        <f t="shared" si="1"/>
        <v>0</v>
      </c>
      <c r="AK13" s="942">
        <f t="shared" si="1"/>
        <v>0</v>
      </c>
      <c r="AL13" s="942">
        <f t="shared" si="1"/>
        <v>68</v>
      </c>
      <c r="AM13" s="942">
        <f t="shared" si="1"/>
        <v>45</v>
      </c>
      <c r="AN13" s="942">
        <f t="shared" si="1"/>
        <v>0</v>
      </c>
      <c r="AO13" s="942">
        <f t="shared" si="1"/>
        <v>0</v>
      </c>
      <c r="AP13" s="947">
        <f>IF(ISNUMBER(((Datos!L13/Datos!K13)*11)/factor_trimestre),((Datos!L13/Datos!K13)*11)/factor_trimestre," - ")</f>
        <v>9.9123027072227448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-2.3518518518518516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3.1140059450952964</v>
      </c>
      <c r="AQ18" s="947">
        <f>IF(ISNUMBER(((Datos!M18/Datos!L18)*11)/factor_trimestre),((Datos!M18/Datos!L18)*11)/factor_trimestre," - ")</f>
        <v>4.7514926909614985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-0.15920398009950248</v>
      </c>
      <c r="AW18" s="949">
        <f>IF(ISNUMBER((Datos!Q18-Datos!R18)/(Datos!S18-Datos!Q18+Datos!R18)),(Datos!Q18-Datos!R18)/(Datos!S18-Datos!Q18+Datos!R18)," - ")</f>
        <v>7.1246819338422395E-3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54</v>
      </c>
      <c r="G19" s="954">
        <f t="shared" si="4"/>
        <v>54</v>
      </c>
      <c r="H19" s="954">
        <f t="shared" si="4"/>
        <v>0</v>
      </c>
      <c r="I19" s="955">
        <f t="shared" si="4"/>
        <v>0</v>
      </c>
      <c r="J19" s="956">
        <f t="shared" si="4"/>
        <v>0</v>
      </c>
      <c r="K19" s="956">
        <f t="shared" si="4"/>
        <v>0</v>
      </c>
      <c r="L19" s="956">
        <f t="shared" si="4"/>
        <v>0</v>
      </c>
      <c r="M19" s="956">
        <f t="shared" si="4"/>
        <v>0</v>
      </c>
      <c r="N19" s="955">
        <f t="shared" si="4"/>
        <v>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127</v>
      </c>
      <c r="AC19" s="960">
        <f t="shared" si="5"/>
        <v>0</v>
      </c>
      <c r="AD19" s="960">
        <f t="shared" si="5"/>
        <v>0</v>
      </c>
      <c r="AE19" s="960">
        <f t="shared" si="5"/>
        <v>0</v>
      </c>
      <c r="AF19" s="961">
        <f t="shared" si="5"/>
        <v>77</v>
      </c>
      <c r="AG19" s="961">
        <f t="shared" si="5"/>
        <v>0</v>
      </c>
      <c r="AH19" s="961">
        <f t="shared" si="5"/>
        <v>0</v>
      </c>
      <c r="AI19" s="961">
        <f t="shared" si="5"/>
        <v>0</v>
      </c>
      <c r="AJ19" s="962">
        <f t="shared" si="5"/>
        <v>0</v>
      </c>
      <c r="AK19" s="962">
        <f t="shared" si="5"/>
        <v>0</v>
      </c>
      <c r="AL19" s="954">
        <f t="shared" si="5"/>
        <v>68</v>
      </c>
      <c r="AM19" s="954">
        <f t="shared" si="5"/>
        <v>45</v>
      </c>
      <c r="AN19" s="954">
        <f t="shared" si="5"/>
        <v>0</v>
      </c>
      <c r="AO19" s="954">
        <f t="shared" si="5"/>
        <v>0</v>
      </c>
      <c r="AP19" s="954">
        <f>IF(ISNUMBER(((Datos!L19/Datos!K19)*11)/factor_trimestre),((Datos!L19/Datos!K19)*11)/factor_trimestre," - ")</f>
        <v>5.5477473432120945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-2.3518518518518516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-0.11407304829496279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3.687817782917155</v>
      </c>
      <c r="F21" s="739">
        <f>IF(ISNUMBER(STDEV(F8:F18)),STDEV(F8:F18),"-")</f>
        <v>31.176914536239792</v>
      </c>
      <c r="G21" s="740">
        <f>IF(ISNUMBER(STDEV(G8:G18)),STDEV(G8:G18),"-")</f>
        <v>31.176914536239792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73.323484187082471</v>
      </c>
      <c r="AC21" s="741">
        <f>IF(ISNUMBER(STDEV(AC8:AC18)),STDEV(AC8:AC18),"-")</f>
        <v>0</v>
      </c>
      <c r="AD21" s="744"/>
      <c r="AE21" s="744"/>
      <c r="AF21" s="744"/>
      <c r="AG21" s="744"/>
      <c r="AH21" s="744"/>
      <c r="AI21" s="744"/>
      <c r="AJ21" s="745">
        <f>IF(ISNUMBER(STDEV(AJ8:AJ18)),STDEV(AJ8:AJ18),"-")</f>
        <v>0</v>
      </c>
      <c r="AK21" s="747"/>
      <c r="AL21" s="739">
        <f>IF(ISNUMBER(STDEV(AL8:AL18)),STDEV(AL8:AL18),"-")</f>
        <v>39.259818304894551</v>
      </c>
      <c r="AM21" s="739"/>
      <c r="AN21" s="739">
        <f>IF(ISNUMBER(STDEV(AN8:AN18)),STDEV(AN8:AN18),"-")</f>
        <v>0</v>
      </c>
      <c r="AO21" s="745">
        <f>IF(ISNUMBER(STDEV(AO8:AO18)),STDEV(AO8:AO18),"-")</f>
        <v>0</v>
      </c>
      <c r="AP21" s="782">
        <f>IF(ISNUMBER(STDEV(AP8:AP18)),STDEV(AP8:AP18),"-")</f>
        <v>3.4003435079470514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sv2EzlX9/2F67iHssMQI+cI/nuV1FCWef7FdVKIip8WEnF1VFV7c0lOqVe5QnmemIGU35PDqzPW079ssIxOzA==" saltValue="rhWe9FsECxy1Err0EJLB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DONOSTIA-SAN SEBASTIAN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dZZbMCbUw/k8eefaM9EcXg7MCKuboqokufCq3IWo7OnHIoHb2we22coyclAlHjj4LR6rgsFCR8q0iurjod0RA==" saltValue="eoaorheifbtg2zElqxrP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DONOSTIA-SAN SEBASTIAN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3333</v>
      </c>
      <c r="E9" s="407">
        <f t="shared" ref="E9:E13" si="0">IF(ISNUMBER(D9/B9),D9/B9," - ")</f>
        <v>555.5</v>
      </c>
      <c r="F9" s="406">
        <f>IF(ISNUMBER(Datos!N9),Datos!N9," - ")</f>
        <v>2006</v>
      </c>
      <c r="G9" s="407">
        <f t="shared" ref="G9:G13" si="1">IF(ISNUMBER(F9/B9),F9/B9," - ")</f>
        <v>334.33333333333331</v>
      </c>
      <c r="H9" s="406">
        <f>IF(ISNUMBER(Datos!O9),Datos!O9," - ")</f>
        <v>2682</v>
      </c>
      <c r="I9" s="407">
        <f>IF(ISNUMBER(H9/B9),H9/B9," - ")</f>
        <v>447</v>
      </c>
    </row>
    <row r="10" spans="1:9">
      <c r="A10" s="405" t="str">
        <f>Datos!A10</f>
        <v>Jdos. Violencia contra la mujer</v>
      </c>
      <c r="B10" s="430">
        <f>Datos!AO10</f>
        <v>1</v>
      </c>
      <c r="C10" s="413">
        <f>Datos!AQ10</f>
        <v>1</v>
      </c>
      <c r="D10" s="406">
        <f>IF(ISNUMBER(Datos!M10),Datos!M10," - ")</f>
        <v>68</v>
      </c>
      <c r="E10" s="407">
        <f>IF(ISNUMBER(D10/B10),D10/B10," - ")</f>
        <v>68</v>
      </c>
      <c r="F10" s="406">
        <f>IF(ISNUMBER(Datos!N10),Datos!N10," - ")</f>
        <v>45</v>
      </c>
      <c r="G10" s="407">
        <f>IF(ISNUMBER(F10/B10),F10/B10," - ")</f>
        <v>45</v>
      </c>
      <c r="H10" s="406">
        <f>IF(ISNUMBER(Datos!O10),Datos!O10," - ")</f>
        <v>8</v>
      </c>
      <c r="I10" s="407">
        <f t="shared" ref="I10:I12" si="2">IF(ISNUMBER(H10/B10),H10/B10," - ")</f>
        <v>8</v>
      </c>
    </row>
    <row r="11" spans="1:9">
      <c r="A11" s="405" t="str">
        <f>Datos!A11</f>
        <v xml:space="preserve">Jdos. Familia                                   </v>
      </c>
      <c r="B11" s="430">
        <f>Datos!AO11</f>
        <v>2</v>
      </c>
      <c r="C11" s="413">
        <f>Datos!AQ11</f>
        <v>2</v>
      </c>
      <c r="D11" s="406">
        <f>IF(ISNUMBER(Datos!M11),Datos!M11," - ")</f>
        <v>530</v>
      </c>
      <c r="E11" s="407">
        <f t="shared" si="0"/>
        <v>265</v>
      </c>
      <c r="F11" s="406">
        <f>IF(ISNUMBER(Datos!N11),Datos!N11," - ")</f>
        <v>2140</v>
      </c>
      <c r="G11" s="407">
        <f t="shared" si="1"/>
        <v>1070</v>
      </c>
      <c r="H11" s="406">
        <f>IF(ISNUMBER(Datos!O11),Datos!O11," - ")</f>
        <v>260</v>
      </c>
      <c r="I11" s="407">
        <f t="shared" si="2"/>
        <v>130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3931</v>
      </c>
      <c r="E13" s="853">
        <f t="shared" si="0"/>
        <v>436.77777777777777</v>
      </c>
      <c r="F13" s="852">
        <f>SUBTOTAL(9,F9:F12)</f>
        <v>4191</v>
      </c>
      <c r="G13" s="853">
        <f t="shared" si="1"/>
        <v>465.66666666666669</v>
      </c>
      <c r="H13" s="852">
        <f>SUBTOTAL(9,H9:H12)</f>
        <v>2950</v>
      </c>
      <c r="I13" s="853">
        <f>IF(ISNUMBER(H13/B13),H13/B13," - ")</f>
        <v>327.77777777777777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1950</v>
      </c>
      <c r="E15" s="407">
        <f t="shared" ref="E15:E18" si="3">IF(ISNUMBER(D15/B15),D15/B15," - ")</f>
        <v>390</v>
      </c>
      <c r="F15" s="406">
        <f>IF(ISNUMBER(Datos!N15),Datos!N15," - ")</f>
        <v>7841</v>
      </c>
      <c r="G15" s="407">
        <f t="shared" ref="G15:G18" si="4">IF(ISNUMBER(F15/B15),F15/B15," - ")</f>
        <v>1568.2</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148</v>
      </c>
      <c r="E17" s="407">
        <f>IF(ISNUMBER(D17/B17),D17/B17," - ")</f>
        <v>148</v>
      </c>
      <c r="F17" s="406">
        <f>IF(ISNUMBER(Datos!N17),Datos!N17," - ")</f>
        <v>488</v>
      </c>
      <c r="G17" s="407">
        <f>IF(ISNUMBER(F17/B17),F17/B17," - ")</f>
        <v>488</v>
      </c>
      <c r="H17" s="406">
        <f>IF(ISNUMBER(Datos!O17),Datos!O17," - ")</f>
        <v>0</v>
      </c>
      <c r="I17" s="407">
        <f t="shared" si="5"/>
        <v>0</v>
      </c>
    </row>
    <row r="18" spans="1:9" ht="14.25" thickTop="1" thickBot="1">
      <c r="A18" s="851" t="str">
        <f>Datos!A18</f>
        <v>TOTAL</v>
      </c>
      <c r="B18" s="852">
        <f>Datos!AO18</f>
        <v>6</v>
      </c>
      <c r="C18" s="854">
        <f>Datos!AR18</f>
        <v>6</v>
      </c>
      <c r="D18" s="852">
        <f>SUBTOTAL(9,D15:D17)</f>
        <v>2098</v>
      </c>
      <c r="E18" s="853">
        <f t="shared" si="3"/>
        <v>349.66666666666669</v>
      </c>
      <c r="F18" s="852">
        <f>SUBTOTAL(9,F15:F17)</f>
        <v>8329</v>
      </c>
      <c r="G18" s="853">
        <f t="shared" si="4"/>
        <v>1388.1666666666667</v>
      </c>
      <c r="H18" s="852">
        <f>SUBTOTAL(9,H15:H17)</f>
        <v>0</v>
      </c>
      <c r="I18" s="853">
        <f>IF(ISNUMBER(H18/B18),H18/B18," - ")</f>
        <v>0</v>
      </c>
    </row>
    <row r="19" spans="1:9" ht="14.25" thickTop="1" thickBot="1">
      <c r="A19" s="796" t="str">
        <f>Datos!A19</f>
        <v>TOTAL JURISDICCIONES</v>
      </c>
      <c r="B19" s="797">
        <f>Datos!AP19</f>
        <v>14</v>
      </c>
      <c r="C19" s="797">
        <f>Datos!AR19</f>
        <v>14</v>
      </c>
      <c r="D19" s="797">
        <f>SUBTOTAL(9,D8:D18)</f>
        <v>6029</v>
      </c>
      <c r="E19" s="798">
        <f>IF(ISNUMBER(D19/B19),D19/B19," - ")</f>
        <v>430.64285714285717</v>
      </c>
      <c r="F19" s="797">
        <f>SUBTOTAL(9,F8:F18)</f>
        <v>12520</v>
      </c>
      <c r="G19" s="798">
        <f>IF(ISNUMBER(F19/B19),F19/B19," - ")</f>
        <v>894.28571428571433</v>
      </c>
      <c r="H19" s="797">
        <f>SUBTOTAL(9,H8:H18)</f>
        <v>2950</v>
      </c>
      <c r="I19" s="798">
        <f>IF(ISNUMBER(H19/B19),H19/B19," - ")</f>
        <v>210.71428571428572</v>
      </c>
    </row>
    <row r="22" spans="1:9">
      <c r="A22" s="394" t="str">
        <f>Criterios!A4</f>
        <v>Fecha Informe: 03 may. 2024</v>
      </c>
    </row>
    <row r="27" spans="1:9">
      <c r="A27" s="417"/>
    </row>
  </sheetData>
  <sheetProtection algorithmName="SHA-512" hashValue="JLVrA44+RP/pvMU3DpT9iOzNdEmq1G/bmTmdtogf5LZNsYrN8TpAHImO//1BEEs0uAnS3BYB+vE97sCigRPcCw==" saltValue="0KcaO7vorQkVpKazlSbW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DONOSTIA-SAN SEBASTIAN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1640</v>
      </c>
      <c r="C9" s="437">
        <f>IF(ISNUMBER(Datos!Q9),Datos!Q9," - ")</f>
        <v>1950</v>
      </c>
      <c r="D9" s="411">
        <f>IF(ISNUMBER(Datos!R9),Datos!R9," - ")</f>
        <v>3882</v>
      </c>
    </row>
    <row r="10" spans="1:4">
      <c r="A10" s="405" t="str">
        <f>Datos!A10</f>
        <v>Jdos. Violencia contra la mujer</v>
      </c>
      <c r="B10" s="436">
        <f>IF(ISNUMBER(Datos!P10),Datos!P10," - ")</f>
        <v>37</v>
      </c>
      <c r="C10" s="437">
        <f>IF(ISNUMBER(Datos!Q10),Datos!Q10," - ")</f>
        <v>39</v>
      </c>
      <c r="D10" s="411">
        <f>IF(ISNUMBER(Datos!R10),Datos!R10," - ")</f>
        <v>71</v>
      </c>
    </row>
    <row r="11" spans="1:4">
      <c r="A11" s="405" t="str">
        <f>Datos!A11</f>
        <v xml:space="preserve">Jdos. Familia                                   </v>
      </c>
      <c r="B11" s="436">
        <f>IF(ISNUMBER(Datos!P11),Datos!P11," - ")</f>
        <v>151</v>
      </c>
      <c r="C11" s="437">
        <f>IF(ISNUMBER(Datos!Q11),Datos!Q11," - ")</f>
        <v>370</v>
      </c>
      <c r="D11" s="411">
        <f>IF(ISNUMBER(Datos!R11),Datos!R11," - ")</f>
        <v>489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1828</v>
      </c>
      <c r="C13" s="856">
        <f>SUBTOTAL(9,C9:C12)</f>
        <v>2359</v>
      </c>
      <c r="D13" s="854">
        <f>SUBTOTAL(9,D9:D12)</f>
        <v>4442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575</v>
      </c>
      <c r="C15" s="437">
        <f>IF(ISNUMBER(Datos!Q15),Datos!Q15," - ")</f>
        <v>700</v>
      </c>
      <c r="D15" s="411">
        <f>IF(ISNUMBER(Datos!R15),Datos!R15," - ")</f>
        <v>675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4</v>
      </c>
      <c r="D17" s="411">
        <f>IF(ISNUMBER(Datos!R17),Datos!R17," - ")</f>
        <v>1</v>
      </c>
    </row>
    <row r="18" spans="1:4" ht="14.25" thickTop="1" thickBot="1">
      <c r="A18" s="851" t="str">
        <f>Datos!A18</f>
        <v>TOTAL</v>
      </c>
      <c r="B18" s="852">
        <f>SUBTOTAL(9,B15:B17)</f>
        <v>576</v>
      </c>
      <c r="C18" s="856">
        <f>SUBTOTAL(9,C15:C17)</f>
        <v>704</v>
      </c>
      <c r="D18" s="854">
        <f>SUBTOTAL(9,D15:D17)</f>
        <v>676</v>
      </c>
    </row>
    <row r="19" spans="1:4" ht="16.5" customHeight="1" thickTop="1" thickBot="1">
      <c r="A19" s="796" t="str">
        <f>Datos!A19</f>
        <v>TOTAL JURISDICCIONES</v>
      </c>
      <c r="B19" s="801">
        <f>SUBTOTAL(9,B8:B18)</f>
        <v>2404</v>
      </c>
      <c r="C19" s="802">
        <f>SUBTOTAL(9,C8:C18)</f>
        <v>3063</v>
      </c>
      <c r="D19" s="803">
        <f>SUBTOTAL(9,D8:D18)</f>
        <v>5118</v>
      </c>
    </row>
    <row r="20" spans="1:4" ht="7.5" customHeight="1"/>
    <row r="21" spans="1:4" ht="6" customHeight="1"/>
    <row r="22" spans="1:4">
      <c r="A22" s="394" t="str">
        <f>Criterios!A4</f>
        <v>Fecha Informe: 03 may. 2024</v>
      </c>
    </row>
    <row r="27" spans="1:4">
      <c r="A27" s="417"/>
    </row>
  </sheetData>
  <sheetProtection algorithmName="SHA-512" hashValue="YAOlL5gzvnyJnwkmXFXdmI2w1304y6sFMDJ18qUQi8Fdi/R78YHdc0Q24Bw8ehQnLYsplNTu6SN+kjwcbZtFHQ==" saltValue="0MEwT0EfrHXqkKC49E4m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DONOSTIA-SAN SEBASTIAN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0.15774410774410774</v>
      </c>
      <c r="C9" s="459">
        <f>IF(ISNUMBER(
   IF(J_V="SI",(Datos!J9-Datos!T9)/Datos!T9,(Datos!J9+Datos!Z9-(Datos!T9+Datos!AH9))/(Datos!T9+Datos!AH9))
     ),IF(J_V="SI",(Datos!J9-Datos!T9)/Datos!T9,(Datos!J9+Datos!Z9-(Datos!T9+Datos!AH9))/(Datos!T9+Datos!AH9))," - ")</f>
        <v>9.4012149262366215E-2</v>
      </c>
      <c r="D9" s="459">
        <f>IF(ISNUMBER(
   IF(J_V="SI",(Datos!K9-Datos!U9)/Datos!U9,(Datos!K9+Datos!AA9-(Datos!U9+Datos!AI9))/(Datos!U9+Datos!AI9))
     ),IF(J_V="SI",(Datos!K9-Datos!U9)/Datos!U9,(Datos!K9+Datos!AA9-(Datos!U9+Datos!AI9))/(Datos!U9+Datos!AI9))," - ")</f>
        <v>-8.7164750957854406E-2</v>
      </c>
      <c r="E9" s="459">
        <f>IF(ISNUMBER(
   IF(J_V="SI",(Datos!L9-Datos!V9)/Datos!V9,(Datos!L9+Datos!AB9-(Datos!V9+Datos!AJ9))/(Datos!V9+Datos!AJ9))
     ),IF(J_V="SI",(Datos!L9-Datos!V9)/Datos!V9,(Datos!L9+Datos!AB9-(Datos!V9+Datos!AJ9))/(Datos!V9+Datos!AJ9))," - ")</f>
        <v>0.17013232514177692</v>
      </c>
      <c r="F9" s="459">
        <f>IF(ISNUMBER((Datos!M9-Datos!W9)/Datos!W9),(Datos!M9-Datos!W9)/Datos!W9," - ")</f>
        <v>-0.10040485829959514</v>
      </c>
      <c r="G9" s="460">
        <f>IF(ISNUMBER((Datos!N9-Datos!X9)/Datos!X9),(Datos!N9-Datos!X9)/Datos!X9," - ")</f>
        <v>-4.5670789724072312E-2</v>
      </c>
      <c r="H9" s="458">
        <f>IF(ISNUMBER(((NºAsuntos!G9/NºAsuntos!E9)-Datos!BD9)/Datos!BD9),((NºAsuntos!G9/NºAsuntos!E9)-Datos!BD9)/Datos!BD9," - ")</f>
        <v>-0.16560775887395632</v>
      </c>
      <c r="I9" s="459">
        <f>IF(ISNUMBER(((NºAsuntos!I9/NºAsuntos!G9)-Datos!BE9)/Datos!BE9),((NºAsuntos!I9/NºAsuntos!G9)-Datos!BE9)/Datos!BE9," - ")</f>
        <v>0.28186584202310089</v>
      </c>
      <c r="J9" s="464">
        <f>IF(ISNUMBER((('Resol  Asuntos'!D9/NºAsuntos!G9)-Datos!BF9)/Datos!BF9),(('Resol  Asuntos'!D9/NºAsuntos!G9)-Datos!BF9)/Datos!BF9," - ")</f>
        <v>0.73704152243952936</v>
      </c>
      <c r="K9" s="465">
        <f>IF(ISNUMBER((((NºAsuntos!C9+NºAsuntos!E9)/NºAsuntos!G9)-Datos!BG9)/Datos!BG9),(((NºAsuntos!C9+NºAsuntos!E9)/NºAsuntos!G9)-Datos!BG9)/Datos!BG9," - ")</f>
        <v>0.22390267918643031</v>
      </c>
    </row>
    <row r="10" spans="1:11">
      <c r="A10" s="405" t="str">
        <f>Datos!A10</f>
        <v>Jdos. Violencia contra la mujer</v>
      </c>
      <c r="B10" s="458">
        <f>IF(ISNUMBER((Datos!I10-Datos!S10)/Datos!S10),(Datos!I10-Datos!S10)/Datos!S10," - ")</f>
        <v>-0.3493975903614458</v>
      </c>
      <c r="C10" s="459">
        <f>IF(ISNUMBER((Datos!J10-Datos!T10)/Datos!T10),(Datos!J10-Datos!T10)/Datos!T10," - ")</f>
        <v>0.21951219512195122</v>
      </c>
      <c r="D10" s="459">
        <f>IF(ISNUMBER((Datos!K10-Datos!U10)/Datos!U10),(Datos!K10-Datos!U10)/Datos!U10," - ")</f>
        <v>-3.0534351145038167E-2</v>
      </c>
      <c r="E10" s="459">
        <f>IF(ISNUMBER((Datos!L10-Datos!V10)/Datos!V10),(Datos!L10-Datos!V10)/Datos!V10," - ")</f>
        <v>0.42592592592592593</v>
      </c>
      <c r="F10" s="459">
        <f>IF(ISNUMBER((Datos!M10-Datos!W10)/Datos!W10),(Datos!M10-Datos!W10)/Datos!W10," - ")</f>
        <v>4.6153846153846156E-2</v>
      </c>
      <c r="G10" s="460">
        <f>IF(ISNUMBER((Datos!N10-Datos!X10)/Datos!X10),(Datos!N10-Datos!X10)/Datos!X10," - ")</f>
        <v>0.45161290322580644</v>
      </c>
      <c r="H10" s="458">
        <f>IF(ISNUMBER(((NºAsuntos!G10/NºAsuntos!E10)-Datos!BD10)/Datos!BD10),((NºAsuntos!G10/NºAsuntos!E10)-Datos!BD10)/Datos!BD10," - ")</f>
        <v>-0.20503816793893123</v>
      </c>
      <c r="I10" s="459">
        <f>IF(ISNUMBER(((NºAsuntos!I10/NºAsuntos!G10)-Datos!BE10)/Datos!BE10),((NºAsuntos!I10/NºAsuntos!G10)-Datos!BE10)/Datos!BE10," - ")</f>
        <v>0.47083697871099445</v>
      </c>
      <c r="J10" s="464">
        <f>IF(ISNUMBER((('Resol  Asuntos'!D10/NºAsuntos!G10)-Datos!BF10)/Datos!BF10),(('Resol  Asuntos'!D10/NºAsuntos!G10)-Datos!BF10)/Datos!BF10," - ")</f>
        <v>7.9103573591762677E-2</v>
      </c>
      <c r="K10" s="465">
        <f>IF(ISNUMBER((((NºAsuntos!C10+NºAsuntos!E10)/NºAsuntos!G10)-Datos!BG10)/Datos!BG10),(((NºAsuntos!C10+NºAsuntos!E10)/NºAsuntos!G10)-Datos!BG10)/Datos!BG10," - ")</f>
        <v>2.1481538108707336E-2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6.4850843060959796E-3</v>
      </c>
      <c r="C11" s="459">
        <f>IF(ISNUMBER(
   IF(J_V="SI",(Datos!J11-Datos!T11)/Datos!T11,(Datos!J11+Datos!Z11-(Datos!T11+Datos!AH11))/(Datos!T11+Datos!AH11))
     ),IF(J_V="SI",(Datos!J11-Datos!T11)/Datos!T11,(Datos!J11+Datos!Z11-(Datos!T11+Datos!AH11))/(Datos!T11+Datos!AH11))," - ")</f>
        <v>-3.8885065381968342E-2</v>
      </c>
      <c r="D11" s="459">
        <f>IF(ISNUMBER(
   IF(J_V="SI",(Datos!K11-Datos!U11)/Datos!U11,(Datos!K11+Datos!AA11-(Datos!U11+Datos!AI11))/(Datos!U11+Datos!AI11))
     ),IF(J_V="SI",(Datos!K11-Datos!U11)/Datos!U11,(Datos!K11+Datos!AA11-(Datos!U11+Datos!AI11))/(Datos!U11+Datos!AI11))," - ")</f>
        <v>4.8409405255878286E-3</v>
      </c>
      <c r="E11" s="459">
        <f>IF(ISNUMBER(
   IF(J_V="SI",(Datos!L11-Datos!V11)/Datos!V11,(Datos!L11+Datos!AB11-(Datos!V11+Datos!AJ11))/(Datos!V11+Datos!AJ11))
     ),IF(J_V="SI",(Datos!L11-Datos!V11)/Datos!V11,(Datos!L11+Datos!AB11-(Datos!V11+Datos!AJ11))/(Datos!V11+Datos!AJ11))," - ")</f>
        <v>-0.18298969072164947</v>
      </c>
      <c r="F11" s="459">
        <f>IF(ISNUMBER((Datos!M11-Datos!W11)/Datos!W11),(Datos!M11-Datos!W11)/Datos!W11," - ")</f>
        <v>-0.15873015873015872</v>
      </c>
      <c r="G11" s="460">
        <f>IF(ISNUMBER((Datos!N11-Datos!X11)/Datos!X11),(Datos!N11-Datos!X11)/Datos!X11," - ")</f>
        <v>0.30170316301703165</v>
      </c>
      <c r="H11" s="458">
        <f>IF(ISNUMBER(((NºAsuntos!G11/NºAsuntos!E11)-Datos!BD11)/Datos!BD11),((NºAsuntos!G11/NºAsuntos!E11)-Datos!BD11)/Datos!BD11," - ")</f>
        <v>4.5495085272953151E-2</v>
      </c>
      <c r="I11" s="459">
        <f>IF(ISNUMBER(((NºAsuntos!I11/NºAsuntos!G11)-Datos!BE11)/Datos!BE11),((NºAsuntos!I11/NºAsuntos!G11)-Datos!BE11)/Datos!BE11," - ")</f>
        <v>-0.18692573488197187</v>
      </c>
      <c r="J11" s="464">
        <f>IF(ISNUMBER((('Resol  Asuntos'!D11/NºAsuntos!G11)-Datos!BF11)/Datos!BF11),(('Resol  Asuntos'!D11/NºAsuntos!G11)-Datos!BF11)/Datos!BF11," - ")</f>
        <v>-0.67916869703256788</v>
      </c>
      <c r="K11" s="465">
        <f>IF(ISNUMBER((((NºAsuntos!C11+NºAsuntos!E11)/NºAsuntos!G11)-Datos!BG11)/Datos!BG11),(((NºAsuntos!C11+NºAsuntos!E11)/NºAsuntos!G11)-Datos!BG11)/Datos!BG11," - ")</f>
        <v>-3.4047887193714182E-2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0.13438327936414485</v>
      </c>
      <c r="C13" s="858">
        <f>IF(ISNUMBER(
   IF(J_V="SI",(Datos!J13-Datos!T13)/Datos!T13,(Datos!J13+Datos!Z13-(Datos!T13+Datos!AH13))/(Datos!T13+Datos!AH13))
     ),IF(J_V="SI",(Datos!J13-Datos!T13)/Datos!T13,(Datos!J13+Datos!Z13-(Datos!T13+Datos!AH13))/(Datos!T13+Datos!AH13))," - ")</f>
        <v>6.6343283582089546E-2</v>
      </c>
      <c r="D13" s="858">
        <f>IF(ISNUMBER(
   IF(J_V="SI",(Datos!K13-Datos!U13)/Datos!U13,(Datos!K13+Datos!AA13-(Datos!U13+Datos!AI13))/(Datos!U13+Datos!AI13))
     ),IF(J_V="SI",(Datos!K13-Datos!U13)/Datos!U13,(Datos!K13+Datos!AA13-(Datos!U13+Datos!AI13))/(Datos!U13+Datos!AI13))," - ")</f>
        <v>-6.514212094371527E-2</v>
      </c>
      <c r="E13" s="858">
        <f>IF(ISNUMBER(
   IF(J_V="SI",(Datos!L13-Datos!V13)/Datos!V13,(Datos!L13+Datos!AB13-(Datos!V13+Datos!AJ13))/(Datos!V13+Datos!AJ13))
     ),IF(J_V="SI",(Datos!L13-Datos!V13)/Datos!V13,(Datos!L13+Datos!AB13-(Datos!V13+Datos!AJ13))/(Datos!V13+Datos!AJ13))," - ")</f>
        <v>0.13636953418969769</v>
      </c>
      <c r="F13" s="859">
        <f>IF(ISNUMBER((Datos!M13-Datos!W13)/Datos!W13),(Datos!M13-Datos!W13)/Datos!W13," - ")</f>
        <v>-0.1065909090909091</v>
      </c>
      <c r="G13" s="860">
        <f>IF(ISNUMBER((Datos!N13-Datos!X13)/Datos!X13),(Datos!N13-Datos!X13)/Datos!X13," - ")</f>
        <v>0.10961080222398729</v>
      </c>
      <c r="H13" s="860">
        <f>IF(ISNUMBER(((NºAsuntos!G13/NºAsuntos!E13)-Datos!BD13)/Datos!BD13),((NºAsuntos!G13/NºAsuntos!E13)-Datos!BD13)/Datos!BD13," - ")</f>
        <v>-0.12330494930686436</v>
      </c>
      <c r="I13" s="860">
        <f>IF(ISNUMBER(((NºAsuntos!I13/NºAsuntos!G13)-Datos!BE13)/Datos!BE13),((NºAsuntos!I13/NºAsuntos!G13)-Datos!BE13)/Datos!BE13," - ")</f>
        <v>0.21555325108543114</v>
      </c>
      <c r="J13" s="860">
        <f>IF(ISNUMBER((('Resol  Asuntos'!D13/NºAsuntos!G13)-Datos!BF13)/Datos!BF13),(('Resol  Asuntos'!D13/NºAsuntos!G13)-Datos!BF13)/Datos!BF13," - ")</f>
        <v>0.10336321871657171</v>
      </c>
      <c r="K13" s="860">
        <f>IF(ISNUMBER((((NºAsuntos!C13+NºAsuntos!E13)/NºAsuntos!G13)-Datos!BG13)/Datos!BG13),(((NºAsuntos!C13+NºAsuntos!E13)/NºAsuntos!G13)-Datos!BG13)/Datos!BG13," - ")</f>
        <v>0.16513370691885598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0.17882225823878983</v>
      </c>
      <c r="C15" s="459">
        <f>IF(ISNUMBER(
   IF(D_I="SI",(Datos!J15-Datos!T15)/Datos!T15,(Datos!J15+Datos!AD15-(Datos!T15+Datos!AL15))/(Datos!T15+Datos!AL15))
     ),IF(D_I="SI",(Datos!J15-Datos!T15)/Datos!T15,(Datos!J15+Datos!AD15-(Datos!T15+Datos!AL15))/(Datos!T15+Datos!AL15))," - ")</f>
        <v>2.8414239482200648E-2</v>
      </c>
      <c r="D15" s="459">
        <f>IF(ISNUMBER(
   IF(D_I="SI",(Datos!K15-Datos!U15)/Datos!U15,(Datos!K15+Datos!AE15-(Datos!U15+Datos!AM15))/(Datos!U15+Datos!AM15))
     ),IF(D_I="SI",(Datos!K15-Datos!U15)/Datos!U15,(Datos!K15+Datos!AE15-(Datos!U15+Datos!AM15))/(Datos!U15+Datos!AM15))," - ")</f>
        <v>4.9667553191489362E-2</v>
      </c>
      <c r="E15" s="459">
        <f>IF(ISNUMBER(
   IF(D_I="SI",(Datos!L15-Datos!V15)/Datos!V15,(Datos!L15+Datos!AF15-(Datos!V15+Datos!AN15))/(Datos!V15+Datos!AN15))
     ),IF(D_I="SI",(Datos!L15-Datos!V15)/Datos!V15,(Datos!L15+Datos!AF15-(Datos!V15+Datos!AN15))/(Datos!V15+Datos!AN15))," - ")</f>
        <v>5.2245646196150318E-2</v>
      </c>
      <c r="F15" s="459">
        <f>IF(ISNUMBER((Datos!M15-Datos!W15)/Datos!W15),(Datos!M15-Datos!W15)/Datos!W15," - ")</f>
        <v>3.8338658146964855E-2</v>
      </c>
      <c r="G15" s="460">
        <f>IF(ISNUMBER((Datos!N15-Datos!X15)/Datos!X15),(Datos!N15-Datos!X15)/Datos!X15," - ")</f>
        <v>-3.2811150857283831E-2</v>
      </c>
      <c r="H15" s="458">
        <f>IF(ISNUMBER(((NºAsuntos!G15/NºAsuntos!E15)-Datos!BD15)/Datos!BD15),((NºAsuntos!G15/NºAsuntos!E15)-Datos!BD15)/Datos!BD15," - ")</f>
        <v>2.0666102134087181E-2</v>
      </c>
      <c r="I15" s="459">
        <f>IF(ISNUMBER(((NºAsuntos!I15/NºAsuntos!G15)-Datos!BE15)/Datos!BE15),((NºAsuntos!I15/NºAsuntos!G15)-Datos!BE15)/Datos!BE15," - ")</f>
        <v>2.4561043130487876E-3</v>
      </c>
      <c r="J15" s="464">
        <f>IF(ISNUMBER((('Resol  Asuntos'!D15/NºAsuntos!G15)-Datos!BF15)/Datos!BF15),(('Resol  Asuntos'!D15/NºAsuntos!G15)-Datos!BF15)/Datos!BF15," - ")</f>
        <v>-1.0792841038173729E-2</v>
      </c>
      <c r="K15" s="465">
        <f>IF(ISNUMBER((((NºAsuntos!C15+NºAsuntos!E15)/NºAsuntos!G15)-Datos!BG15)/Datos!BG15),(((NºAsuntos!C15+NºAsuntos!E15)/NºAsuntos!G15)-Datos!BG15)/Datos!BG15," - ")</f>
        <v>7.449897309308672E-3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-0.109375</v>
      </c>
      <c r="C17" s="459">
        <f>IF(ISNUMBER(
   IF(D_I="SI",(Datos!J17-Datos!T17)/Datos!T17,(Datos!J17+Datos!AD17-(Datos!T17+Datos!AL17))/(Datos!T17+Datos!AL17))
     ),IF(D_I="SI",(Datos!J17-Datos!T17)/Datos!T17,(Datos!J17+Datos!AD17-(Datos!T17+Datos!AL17))/(Datos!T17+Datos!AL17))," - ")</f>
        <v>0.10785091197462332</v>
      </c>
      <c r="D17" s="459">
        <f>IF(ISNUMBER(
   IF(D_I="SI",(Datos!K17-Datos!U17)/Datos!U17,(Datos!K17+Datos!AE17-(Datos!U17+Datos!AM17))/(Datos!U17+Datos!AM17))
     ),IF(D_I="SI",(Datos!K17-Datos!U17)/Datos!U17,(Datos!K17+Datos!AE17-(Datos!U17+Datos!AM17))/(Datos!U17+Datos!AM17))," - ")</f>
        <v>2.0864381520119227E-2</v>
      </c>
      <c r="E17" s="459">
        <f>IF(ISNUMBER(
   IF(D_I="SI",(Datos!L17-Datos!V17)/Datos!V17,(Datos!L17+Datos!AF17-(Datos!V17+Datos!AN17))/(Datos!V17+Datos!AN17))
     ),IF(D_I="SI",(Datos!L17-Datos!V17)/Datos!V17,(Datos!L17+Datos!AF17-(Datos!V17+Datos!AN17))/(Datos!V17+Datos!AN17))," - ")</f>
        <v>0.16228070175438597</v>
      </c>
      <c r="F17" s="459">
        <f>IF(ISNUMBER((Datos!M17-Datos!W17)/Datos!W17),(Datos!M17-Datos!W17)/Datos!W17," - ")</f>
        <v>0.21311475409836064</v>
      </c>
      <c r="G17" s="460">
        <f>IF(ISNUMBER((Datos!N17-Datos!X17)/Datos!X17),(Datos!N17-Datos!X17)/Datos!X17," - ")</f>
        <v>-0.1223021582733813</v>
      </c>
      <c r="H17" s="458">
        <f>IF(ISNUMBER(((NºAsuntos!G17/NºAsuntos!E17)-Datos!BD17)/Datos!BD17),((NºAsuntos!G17/NºAsuntos!E17)-Datos!BD17)/Datos!BD17," - ")</f>
        <v>-7.8518264068095658E-2</v>
      </c>
      <c r="I17" s="459">
        <f>IF(ISNUMBER(((NºAsuntos!I17/NºAsuntos!G17)-Datos!BE17)/Datos!BE17),((NºAsuntos!I17/NºAsuntos!G17)-Datos!BE17)/Datos!BE17," - ")</f>
        <v>0.13852605967473428</v>
      </c>
      <c r="J17" s="464">
        <f>IF(ISNUMBER((('Resol  Asuntos'!D17/NºAsuntos!G17)-Datos!BF17)/Datos!BF17),(('Resol  Asuntos'!D17/NºAsuntos!G17)-Datos!BF17)/Datos!BF17," - ")</f>
        <v>0.18832116788321168</v>
      </c>
      <c r="K17" s="465">
        <f>IF(ISNUMBER((((NºAsuntos!C17+NºAsuntos!E17)/NºAsuntos!G17)-Datos!BG17)/Datos!BG17),(((NºAsuntos!C17+NºAsuntos!E17)/NºAsuntos!G17)-Datos!BG17)/Datos!BG17," - ")</f>
        <v>4.9300145792935589E-2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0.16018191005558363</v>
      </c>
      <c r="C18" s="858">
        <f>IF(ISNUMBER(
   IF(Criterios!B14="SI",(Datos!J18-Datos!T18)/Datos!T18,(Datos!J18+Datos!AD18-(Datos!T18+Datos!AL18))/(Datos!T18+Datos!AL18))
     ),IF(Criterios!B14="SI",(Datos!J18-Datos!T18)/Datos!T18,(Datos!J18+Datos!AD18-(Datos!T18+Datos!AL18))/(Datos!T18+Datos!AL18))," - ")</f>
        <v>3.4408473460594821E-2</v>
      </c>
      <c r="D18" s="858">
        <f>IF(ISNUMBER(
   IF(Criterios!B14="SI",(Datos!K18-Datos!U18)/Datos!U18,(Datos!K18+Datos!AE18-(Datos!U18+Datos!AM18))/(Datos!U18+Datos!AM18))
     ),IF(Criterios!B14="SI",(Datos!K18-Datos!U18)/Datos!U18,(Datos!K18+Datos!AE18-(Datos!U18+Datos!AM18))/(Datos!U18+Datos!AM18))," - ")</f>
        <v>4.7308020998657066E-2</v>
      </c>
      <c r="E18" s="858">
        <f>IF(ISNUMBER(
   IF(Criterios!B14="SI",(Datos!L18-Datos!V18)/Datos!V18,(Datos!L18+Datos!AF18-(Datos!V18+Datos!AN18))/(Datos!V18+Datos!AN18))
     ),IF(Criterios!B14="SI",(Datos!L18-Datos!V18)/Datos!V18,(Datos!L18+Datos!AF18-(Datos!V18+Datos!AN18))/(Datos!V18+Datos!AN18))," - ")</f>
        <v>5.7709059233449475E-2</v>
      </c>
      <c r="F18" s="859">
        <f>IF(ISNUMBER((Datos!M18-Datos!W18)/Datos!W18),(Datos!M18-Datos!W18)/Datos!W18," - ")</f>
        <v>4.9000000000000002E-2</v>
      </c>
      <c r="G18" s="860">
        <f>IF(ISNUMBER((Datos!N18-Datos!X18)/Datos!X18),(Datos!N18-Datos!X18)/Datos!X18," - ")</f>
        <v>-3.8554773173265611E-2</v>
      </c>
      <c r="H18" s="860">
        <f>IF(ISNUMBER(((NºAsuntos!G18/NºAsuntos!E18)-Datos!BD18)/Datos!BD18),((NºAsuntos!G18/NºAsuntos!E18)-Datos!BD18)/Datos!BD18," - ")</f>
        <v>1.2470458111104862E-2</v>
      </c>
      <c r="I18" s="860">
        <f>IF(ISNUMBER(((NºAsuntos!I18/NºAsuntos!G18)-Datos!BE18)/Datos!BE18),((NºAsuntos!I18/NºAsuntos!G18)-Datos!BE18)/Datos!BE18," - ")</f>
        <v>9.931212237708811E-3</v>
      </c>
      <c r="J18" s="860">
        <f>IF(ISNUMBER((('Resol  Asuntos'!D18/NºAsuntos!G18)-Datos!BF18)/Datos!BF18),(('Resol  Asuntos'!D18/NºAsuntos!G18)-Datos!BF18)/Datos!BF18," - ")</f>
        <v>1.6155505041674136E-3</v>
      </c>
      <c r="K18" s="860">
        <f>IF(ISNUMBER((((NºAsuntos!C18+NºAsuntos!E18)/NºAsuntos!G18)-Datos!BG18)/Datos!BG18),(((NºAsuntos!C18+NºAsuntos!E18)/NºAsuntos!G18)-Datos!BG18)/Datos!BG18," - ")</f>
        <v>1.0680119586586169E-2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0.14388020833333334</v>
      </c>
      <c r="C19" s="805">
        <f>IF(ISNUMBER(
   IF(J_V="SI",(Datos!J19-Datos!T19)/Datos!T19,(Datos!J19+Datos!Z19-(Datos!T19+Datos!AH19))/(Datos!T19+Datos!AH19))
     ),IF(J_V="SI",(Datos!J19-Datos!T19)/Datos!T19,(Datos!J19+Datos!Z19-(Datos!T19+Datos!AH19))/(Datos!T19+Datos!AH19))," - ")</f>
        <v>4.862010560924579E-2</v>
      </c>
      <c r="D19" s="805">
        <f>IF(ISNUMBER(
   IF(J_V="SI",(Datos!K19-Datos!U19)/Datos!U19,(Datos!K19+Datos!AA19-(Datos!U19+Datos!AI19))/(Datos!U19+Datos!AI19))
     ),IF(J_V="SI",(Datos!K19-Datos!U19)/Datos!U19,(Datos!K19+Datos!AA19-(Datos!U19+Datos!AI19))/(Datos!U19+Datos!AI19))," - ")</f>
        <v>-1.1805145654664769E-3</v>
      </c>
      <c r="E19" s="805">
        <f>IF(ISNUMBER(
   IF(J_V="SI",(Datos!L19-Datos!V19)/Datos!V19,(Datos!L19+Datos!AB19-(Datos!V19+Datos!AJ19))/(Datos!V19+Datos!AJ19))
     ),IF(J_V="SI",(Datos!L19-Datos!V19)/Datos!V19,(Datos!L19+Datos!AB19-(Datos!V19+Datos!AJ19))/(Datos!V19+Datos!AJ19))," - ")</f>
        <v>0.10700056915196357</v>
      </c>
      <c r="F19" s="806">
        <f>IF(ISNUMBER((Datos!M19-Datos!W19)/Datos!W19),(Datos!M19-Datos!W19)/Datos!W19," - ")</f>
        <v>-5.7968749999999999E-2</v>
      </c>
      <c r="G19" s="807">
        <f>IF(ISNUMBER((Datos!N19-Datos!X19)/Datos!X19),(Datos!N19-Datos!X19)/Datos!X19," - ")</f>
        <v>6.4308681672025723E-3</v>
      </c>
      <c r="H19" s="808">
        <f>IF(ISNUMBER((Tasas!B19-Datos!BD19)/Datos!BD19),(Tasas!B19-Datos!BD19)/Datos!BD19," - ")</f>
        <v>-4.7491574792739799E-2</v>
      </c>
      <c r="I19" s="809">
        <f>IF(ISNUMBER((Tasas!C19-Datos!BE19)/Datos!BE19),(Tasas!C19-Datos!BE19)/Datos!BE19," - ")</f>
        <v>0.10830894400339637</v>
      </c>
      <c r="J19" s="810">
        <f>IF(ISNUMBER((Tasas!D19-Datos!BF19)/Datos!BF19),(Tasas!D19-Datos!BF19)/Datos!BF19," - ")</f>
        <v>3.8741306891823306E-2</v>
      </c>
      <c r="K19" s="810">
        <f>IF(ISNUMBER((Tasas!E19-Datos!BG19)/Datos!BG19),(Tasas!E19-Datos!BG19)/Datos!BG19," - ")</f>
        <v>7.4954240064606104E-2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gPDS0MCvUX3tPS1ZMrs91e7kCtXI4G366MSbCrYZUnfJXKAGWsxB1kigtc/UNGQRyN5vR5O1oErKbV9BYqPng==" saltValue="2tt4P38iX6OWQn9n/qRf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DONOSTIA-SAN SEBASTIAN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0.75594923320994178</v>
      </c>
      <c r="C9" s="446">
        <f>IF(ISNUMBER(NºAsuntos!I9/NºAsuntos!G9),NºAsuntos!I9/NºAsuntos!G9," - ")</f>
        <v>0.93820683222571999</v>
      </c>
      <c r="D9" s="447">
        <f>IF(ISNUMBER('Resol  Asuntos'!D9/NºAsuntos!G9),'Resol  Asuntos'!D9/NºAsuntos!G9," - ")</f>
        <v>0.38859741168240641</v>
      </c>
      <c r="E9" s="448">
        <f>IF(ISNUMBER((NºAsuntos!C9+NºAsuntos!E9)/NºAsuntos!G9),(NºAsuntos!C9+NºAsuntos!E9)/NºAsuntos!G9," - ")</f>
        <v>2.1246356534918971</v>
      </c>
      <c r="G9" s="466"/>
    </row>
    <row r="10" spans="1:7">
      <c r="A10" s="405" t="str">
        <f>Datos!A10</f>
        <v>Jdos. Violencia contra la mujer</v>
      </c>
      <c r="B10" s="445">
        <f>IF(ISNUMBER(NºAsuntos!G10/NºAsuntos!E10),NºAsuntos!G10/NºAsuntos!E10," - ")</f>
        <v>0.84666666666666668</v>
      </c>
      <c r="C10" s="446">
        <f>IF(ISNUMBER(NºAsuntos!I10/NºAsuntos!G10),NºAsuntos!I10/NºAsuntos!G10," - ")</f>
        <v>0.60629921259842523</v>
      </c>
      <c r="D10" s="447">
        <f>IF(ISNUMBER('Resol  Asuntos'!D10/NºAsuntos!G10),'Resol  Asuntos'!D10/NºAsuntos!G10," - ")</f>
        <v>0.53543307086614178</v>
      </c>
      <c r="E10" s="448">
        <f>IF(ISNUMBER((NºAsuntos!C10+NºAsuntos!E10)/NºAsuntos!G10),(NºAsuntos!C10+NºAsuntos!E10)/NºAsuntos!G10," - ")</f>
        <v>1.6062992125984252</v>
      </c>
      <c r="G10" s="466"/>
    </row>
    <row r="11" spans="1:7">
      <c r="A11" s="405" t="str">
        <f>Datos!A11</f>
        <v xml:space="preserve">Jdos. Familia                                   </v>
      </c>
      <c r="B11" s="445">
        <f>IF(ISNUMBER(NºAsuntos!G11/NºAsuntos!E11),NºAsuntos!G11/NºAsuntos!E11," - ")</f>
        <v>1.0404582885785894</v>
      </c>
      <c r="C11" s="446">
        <f>IF(ISNUMBER(NºAsuntos!I11/NºAsuntos!G11),NºAsuntos!I11/NºAsuntos!G11," - ")</f>
        <v>0.21816930488644184</v>
      </c>
      <c r="D11" s="447">
        <f>IF(ISNUMBER('Resol  Asuntos'!D11/NºAsuntos!G11),'Resol  Asuntos'!D11/NºAsuntos!G11," - ")</f>
        <v>0.18238128011011701</v>
      </c>
      <c r="E11" s="448">
        <f>IF(ISNUMBER((NºAsuntos!C11+NºAsuntos!E11)/NºAsuntos!G11),(NºAsuntos!C11+NºAsuntos!E11)/NºAsuntos!G11," - ")</f>
        <v>1.2281486579490708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0.81251312198194414</v>
      </c>
      <c r="C13" s="862">
        <f>IF(ISNUMBER(NºAsuntos!I13/NºAsuntos!G13),NºAsuntos!I13/NºAsuntos!G13," - ")</f>
        <v>0.75434969853574507</v>
      </c>
      <c r="D13" s="863">
        <f>IF(ISNUMBER('Resol  Asuntos'!D13/NºAsuntos!G13),'Resol  Asuntos'!D13/NºAsuntos!G13," - ")</f>
        <v>0.33858742463393626</v>
      </c>
      <c r="E13" s="864">
        <f>IF(ISNUMBER((NºAsuntos!C13+NºAsuntos!E13)/NºAsuntos!G13),(NºAsuntos!C13+NºAsuntos!E13)/NºAsuntos!G13," - ")</f>
        <v>1.8945736434108527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0.99358046447227644</v>
      </c>
      <c r="C15" s="446">
        <f>IF(ISNUMBER(NºAsuntos!I15/NºAsuntos!G15),NºAsuntos!I15/NºAsuntos!G15," - ")</f>
        <v>0.29087223665040857</v>
      </c>
      <c r="D15" s="447">
        <f>IF(ISNUMBER('Resol  Asuntos'!D15/NºAsuntos!G15),'Resol  Asuntos'!D15/NºAsuntos!G15," - ")</f>
        <v>0.12351935136504719</v>
      </c>
      <c r="E15" s="448">
        <f>IF(ISNUMBER((NºAsuntos!C15+NºAsuntos!E15)/NºAsuntos!G15),(NºAsuntos!C15+NºAsuntos!E15)/NºAsuntos!G15," - ")</f>
        <v>1.2828909862545133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0.98067287043664997</v>
      </c>
      <c r="C17" s="446">
        <f>IF(ISNUMBER(NºAsuntos!I17/NºAsuntos!G17),NºAsuntos!I17/NºAsuntos!G17," - ")</f>
        <v>0.19343065693430658</v>
      </c>
      <c r="D17" s="447">
        <f>IF(ISNUMBER('Resol  Asuntos'!D17/NºAsuntos!G17),'Resol  Asuntos'!D17/NºAsuntos!G17," - ")</f>
        <v>0.10802919708029197</v>
      </c>
      <c r="E17" s="448">
        <f>IF(ISNUMBER((NºAsuntos!C17+NºAsuntos!E17)/NºAsuntos!G17),(NºAsuntos!C17+NºAsuntos!E17)/NºAsuntos!G17," - ")</f>
        <v>1.1861313868613139</v>
      </c>
      <c r="G17" s="466"/>
    </row>
    <row r="18" spans="1:7" ht="14.25" thickTop="1" thickBot="1">
      <c r="A18" s="851" t="str">
        <f>Datos!A18</f>
        <v>TOTAL</v>
      </c>
      <c r="B18" s="861">
        <f>IF(ISNUMBER(NºAsuntos!G18/NºAsuntos!E18),NºAsuntos!G18/NºAsuntos!E18," - ")</f>
        <v>0.9925373134328358</v>
      </c>
      <c r="C18" s="862">
        <f>IF(ISNUMBER(NºAsuntos!I18/NºAsuntos!G18),NºAsuntos!I18/NºAsuntos!G18," - ")</f>
        <v>0.28309144955411786</v>
      </c>
      <c r="D18" s="865">
        <f>IF(ISNUMBER('Resol  Asuntos'!D18/NºAsuntos!G18),'Resol  Asuntos'!D18/NºAsuntos!G18," - ")</f>
        <v>0.12228245031182608</v>
      </c>
      <c r="E18" s="864">
        <f>IF(ISNUMBER((NºAsuntos!C18+NºAsuntos!E18)/NºAsuntos!G18),(NºAsuntos!C18+NºAsuntos!E18)/NºAsuntos!G18," - ")</f>
        <v>1.2751646558256104</v>
      </c>
      <c r="G18" s="466"/>
    </row>
    <row r="19" spans="1:7" ht="15.75" customHeight="1" thickTop="1" thickBot="1">
      <c r="A19" s="796" t="str">
        <f>Datos!A19</f>
        <v>TOTAL JURISDICCIONES</v>
      </c>
      <c r="B19" s="811">
        <f>IF(ISNUMBER(NºAsuntos!G19/NºAsuntos!E19),NºAsuntos!G19/NºAsuntos!E19," - ")</f>
        <v>0.91106888361045135</v>
      </c>
      <c r="C19" s="812">
        <f>IF(ISNUMBER(NºAsuntos!I19/NºAsuntos!G19),NºAsuntos!I19/NºAsuntos!G19," - ")</f>
        <v>0.47328536169916918</v>
      </c>
      <c r="D19" s="813">
        <f>IF(ISNUMBER('Resol  Asuntos'!D19/NºAsuntos!G19),'Resol  Asuntos'!D19/NºAsuntos!G19," - ")</f>
        <v>0.20958042201133242</v>
      </c>
      <c r="E19" s="814">
        <f>IF(ISNUMBER((NºAsuntos!C19+NºAsuntos!E19)/NºAsuntos!G19),(NºAsuntos!C19+NºAsuntos!E19)/NºAsuntos!G19," - ")</f>
        <v>1.5251503458824347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eMpQwlEy8JjrUtc2Hwbe1K4NFXk84kOIYPMpmqDWL8t3KWkvv/aLKtlbIsAMrOeb+Lwk0nUPVGR7flqzLNIow==" saltValue="jP8x4ieEn8CR8lZv+Gh4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DONOSTIA-SAN SEBASTIAN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1640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1950</v>
      </c>
      <c r="Y9" s="337">
        <f>SUM(W9:X9)</f>
        <v>1950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3882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3333</v>
      </c>
      <c r="AJ9" s="232" t="str">
        <f>IF(ISNUMBER(Datos!BW9),Datos!BW9," - ")</f>
        <v xml:space="preserve"> - </v>
      </c>
      <c r="AK9" s="231" t="str">
        <f>IF(ISNUMBER(Datos!BX9),Datos!BX9," - ")</f>
        <v xml:space="preserve"> - </v>
      </c>
      <c r="AL9" s="246">
        <f>IF(ISNUMBER(NºAsuntos!G9/NºAsuntos!E9),NºAsuntos!G9/NºAsuntos!E9," - ")</f>
        <v>0.75594923320994178</v>
      </c>
      <c r="AM9" s="263">
        <f>IF(ISNUMBER(((NºAsuntos!I9/NºAsuntos!G9)*11)/factor_trimestre),((NºAsuntos!I9/NºAsuntos!G9)*11)/factor_trimestre," - ")</f>
        <v>10.320275154482919</v>
      </c>
      <c r="AN9" s="247">
        <f>IF(ISNUMBER('Resol  Asuntos'!D9/NºAsuntos!G9),'Resol  Asuntos'!D9/NºAsuntos!G9," - ")</f>
        <v>0.38859741168240641</v>
      </c>
      <c r="AO9" s="248">
        <f>IF(ISNUMBER((NºAsuntos!C9+NºAsuntos!E9)/NºAsuntos!G9),(NºAsuntos!C9+NºAsuntos!E9)/NºAsuntos!G9," - ")</f>
        <v>2.1246356534918971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54</v>
      </c>
      <c r="G10" s="336">
        <f>IF(ISNUMBER(Datos!I10),Datos!I10," - ")</f>
        <v>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127</v>
      </c>
      <c r="X10" s="229">
        <f>IF(ISNUMBER(Datos!Q10),Datos!Q10," - ")</f>
        <v>39</v>
      </c>
      <c r="Y10" s="337">
        <f t="shared" ref="Y10:Y12" si="0">SUM(W10:X10)</f>
        <v>166</v>
      </c>
      <c r="Z10" s="338" t="str">
        <f>IF(ISNUMBER(Datos!CC10),Datos!CC10," - ")</f>
        <v xml:space="preserve"> - </v>
      </c>
      <c r="AA10" s="335">
        <f>IF(ISNUMBER(Datos!L10),Datos!L10,"-")</f>
        <v>77</v>
      </c>
      <c r="AB10" s="337">
        <f>IF(ISNUMBER(Datos!R10),Datos!R10," - ")</f>
        <v>71</v>
      </c>
      <c r="AC10" s="337">
        <f t="shared" ref="AC10:AC12" si="1">IF(ISNUMBER(AA10+AB10),AA10+AB10," - ")</f>
        <v>148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68</v>
      </c>
      <c r="AJ10" s="234" t="str">
        <f>IF(ISNUMBER(Datos!BW10),Datos!BW10," - ")</f>
        <v xml:space="preserve"> - </v>
      </c>
      <c r="AK10" s="235" t="str">
        <f>IF(ISNUMBER(Datos!BX10),Datos!BX10," - ")</f>
        <v xml:space="preserve"> - </v>
      </c>
      <c r="AL10" s="246">
        <f>IF(ISNUMBER(NºAsuntos!G10/NºAsuntos!E10),NºAsuntos!G10/NºAsuntos!E10," - ")</f>
        <v>0.84666666666666668</v>
      </c>
      <c r="AM10" s="263">
        <f>IF(ISNUMBER(((NºAsuntos!I10/NºAsuntos!G10)*11)/factor_trimestre),((NºAsuntos!I10/NºAsuntos!G10)*11)/factor_trimestre," - ")</f>
        <v>6.6692913385826778</v>
      </c>
      <c r="AN10" s="247">
        <f>IF(ISNUMBER('Resol  Asuntos'!D10/NºAsuntos!G10),'Resol  Asuntos'!D10/NºAsuntos!G10," - ")</f>
        <v>0.53543307086614178</v>
      </c>
      <c r="AO10" s="248">
        <f>IF(ISNUMBER((NºAsuntos!C10+NºAsuntos!E10)/NºAsuntos!G10),(NºAsuntos!C10+NºAsuntos!E10)/NºAsuntos!G10," - ")</f>
        <v>1.6062992125984252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151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370</v>
      </c>
      <c r="Y11" s="337">
        <f t="shared" si="0"/>
        <v>370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489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530</v>
      </c>
      <c r="AJ11" s="234" t="str">
        <f>IF(ISNUMBER(Datos!BW11),Datos!BW11," - ")</f>
        <v xml:space="preserve"> - </v>
      </c>
      <c r="AK11" s="235" t="str">
        <f>IF(ISNUMBER(Datos!BX11),Datos!BX11," - ")</f>
        <v xml:space="preserve"> - </v>
      </c>
      <c r="AL11" s="246">
        <f>IF(ISNUMBER(NºAsuntos!G11/NºAsuntos!E11),NºAsuntos!G11/NºAsuntos!E11," - ")</f>
        <v>1.0404582885785894</v>
      </c>
      <c r="AM11" s="263">
        <f>IF(ISNUMBER(((NºAsuntos!I11/NºAsuntos!G11)*11)/factor_trimestre),((NºAsuntos!I11/NºAsuntos!G11)*11)/factor_trimestre," - ")</f>
        <v>2.3998623537508603</v>
      </c>
      <c r="AN11" s="247">
        <f>IF(ISNUMBER('Resol  Asuntos'!D11/NºAsuntos!G11),'Resol  Asuntos'!D11/NºAsuntos!G11," - ")</f>
        <v>0.18238128011011701</v>
      </c>
      <c r="AO11" s="248">
        <f>IF(ISNUMBER((NºAsuntos!C11+NºAsuntos!E11)/NºAsuntos!G11),(NºAsuntos!C11+NºAsuntos!E11)/NºAsuntos!G11," - ")</f>
        <v>1.2281486579490708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54</v>
      </c>
      <c r="G13" s="869">
        <f t="shared" si="3"/>
        <v>54</v>
      </c>
      <c r="H13" s="868">
        <f t="shared" si="3"/>
        <v>0</v>
      </c>
      <c r="I13" s="870">
        <f t="shared" si="3"/>
        <v>0</v>
      </c>
      <c r="J13" s="870">
        <f t="shared" si="3"/>
        <v>0</v>
      </c>
      <c r="K13" s="870">
        <f t="shared" si="3"/>
        <v>0</v>
      </c>
      <c r="L13" s="870">
        <f t="shared" si="3"/>
        <v>1828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127</v>
      </c>
      <c r="X13" s="870">
        <f t="shared" si="4"/>
        <v>2359</v>
      </c>
      <c r="Y13" s="871">
        <f t="shared" si="4"/>
        <v>2486</v>
      </c>
      <c r="Z13" s="871">
        <f t="shared" si="4"/>
        <v>0</v>
      </c>
      <c r="AA13" s="871">
        <f t="shared" si="4"/>
        <v>77</v>
      </c>
      <c r="AB13" s="871">
        <f t="shared" si="4"/>
        <v>4442</v>
      </c>
      <c r="AC13" s="871">
        <f t="shared" si="4"/>
        <v>148</v>
      </c>
      <c r="AD13" s="871">
        <f t="shared" si="4"/>
        <v>0</v>
      </c>
      <c r="AE13" s="875">
        <f t="shared" si="4"/>
        <v>0</v>
      </c>
      <c r="AF13" s="868">
        <f t="shared" si="4"/>
        <v>0</v>
      </c>
      <c r="AG13" s="876">
        <f t="shared" si="4"/>
        <v>0</v>
      </c>
      <c r="AH13" s="873">
        <f t="shared" si="4"/>
        <v>0</v>
      </c>
      <c r="AI13" s="868">
        <f t="shared" si="4"/>
        <v>3931</v>
      </c>
      <c r="AJ13" s="870">
        <f t="shared" si="4"/>
        <v>0</v>
      </c>
      <c r="AK13" s="873">
        <f>SUBTOTAL(9,AK9:AK12)</f>
        <v>0</v>
      </c>
      <c r="AL13" s="877">
        <f>IF(ISNUMBER(NºAsuntos!G13/NºAsuntos!E13),NºAsuntos!G13/NºAsuntos!E13," - ")</f>
        <v>0.81251312198194414</v>
      </c>
      <c r="AM13" s="877">
        <f>IF(ISNUMBER(((NºAsuntos!I13/NºAsuntos!G13)*11)/factor_trimestre),((NºAsuntos!I13/NºAsuntos!G13)*11)/factor_trimestre," - ")</f>
        <v>8.2978466838931961</v>
      </c>
      <c r="AN13" s="878">
        <f>IF(ISNUMBER('Resol  Asuntos'!D13/NºAsuntos!G13),'Resol  Asuntos'!D13/NºAsuntos!G13," - ")</f>
        <v>0.33858742463393626</v>
      </c>
      <c r="AO13" s="879">
        <f>IF(ISNUMBER((NºAsuntos!C13+NºAsuntos!E13)/NºAsuntos!G13),(NºAsuntos!C13+NºAsuntos!E13)/NºAsuntos!G13," - ")</f>
        <v>1.8945736434108527</v>
      </c>
      <c r="AP13" s="880" t="str">
        <f t="shared" si="2"/>
        <v xml:space="preserve"> - </v>
      </c>
      <c r="AQ13" s="880">
        <f>IF(ISNUMBER((H13-W13+K13)/(F13)),(H13-W13+K13)/(F13)," - ")</f>
        <v>-2.3518518518518516</v>
      </c>
      <c r="AR13" s="881">
        <f>IF(ISNUMBER((Datos!P13-Datos!Q13)/(Datos!R13-Datos!P13+Datos!Q13)),(Datos!P13-Datos!Q13)/(Datos!R13-Datos!P13+Datos!Q13)," - ")</f>
        <v>-0.10677659360546954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4490</v>
      </c>
      <c r="G15" s="336">
        <f>IF(ISNUMBER(IF(D_I="SI",Datos!I15,Datos!I15+Datos!AC15)),IF(D_I="SI",Datos!I15,Datos!I15+Datos!AC15)," - ")</f>
        <v>4364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575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15787</v>
      </c>
      <c r="X15" s="229">
        <f>IF(ISNUMBER(Datos!Q15),Datos!Q15," - ")</f>
        <v>700</v>
      </c>
      <c r="Y15" s="337">
        <f>SUM(W15)</f>
        <v>15787</v>
      </c>
      <c r="Z15" s="338" t="str">
        <f>IF(ISNUMBER(Datos!CC15),Datos!CC15," - ")</f>
        <v xml:space="preserve"> - </v>
      </c>
      <c r="AA15" s="335">
        <f>IF(ISNUMBER(IF(D_I="SI",Datos!L15,Datos!L15+Datos!AF15)),IF(D_I="SI",Datos!L15,Datos!L15+Datos!AF15)," - ")</f>
        <v>4592</v>
      </c>
      <c r="AB15" s="337">
        <f>IF(ISNUMBER(Datos!R15),Datos!R15," - ")</f>
        <v>675</v>
      </c>
      <c r="AC15" s="337">
        <f t="shared" ref="AC15:AC17" si="6">IF(ISNUMBER(AA15+AB15),AA15+AB15," - ")</f>
        <v>5267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1950</v>
      </c>
      <c r="AJ15" s="234" t="str">
        <f>IF(ISNUMBER(Datos!BW15),Datos!BW15," - ")</f>
        <v xml:space="preserve"> - </v>
      </c>
      <c r="AK15" s="235" t="str">
        <f>IF(ISNUMBER(Datos!BX15),Datos!BX15," - ")</f>
        <v xml:space="preserve"> - </v>
      </c>
      <c r="AL15" s="246">
        <f>IF(ISNUMBER(NºAsuntos!G15/NºAsuntos!E15),NºAsuntos!G15/NºAsuntos!E15," - ")</f>
        <v>0.99358046447227644</v>
      </c>
      <c r="AM15" s="263">
        <f>IF(ISNUMBER(((NºAsuntos!I15/NºAsuntos!G15)*11)/factor_trimestre),((NºAsuntos!I15/NºAsuntos!G15)*11)/factor_trimestre," - ")</f>
        <v>3.1995946031544942</v>
      </c>
      <c r="AN15" s="247">
        <f>IF(ISNUMBER('Resol  Asuntos'!D15/NºAsuntos!G15),'Resol  Asuntos'!D15/NºAsuntos!G15," - ")</f>
        <v>0.12351935136504719</v>
      </c>
      <c r="AO15" s="248">
        <f>IF(ISNUMBER((NºAsuntos!C15+NºAsuntos!E15)/NºAsuntos!G15),(NºAsuntos!C15+NºAsuntos!E15)/NºAsuntos!G15," - ")</f>
        <v>1.2828909862545133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1370</v>
      </c>
      <c r="X17" s="229">
        <f>IF(ISNUMBER(Datos!Q17),Datos!Q17," - ")</f>
        <v>4</v>
      </c>
      <c r="Y17" s="337">
        <f t="shared" si="7"/>
        <v>1374</v>
      </c>
      <c r="Z17" s="338" t="str">
        <f>IF(ISNUMBER(Datos!CC17),Datos!CC17," - ")</f>
        <v xml:space="preserve"> - </v>
      </c>
      <c r="AA17" s="335">
        <f>IF(ISNUMBER(Datos!L17),Datos!L17,"-")</f>
        <v>265</v>
      </c>
      <c r="AB17" s="337">
        <f>IF(ISNUMBER(Datos!R17),Datos!R17," - ")</f>
        <v>1</v>
      </c>
      <c r="AC17" s="337">
        <f t="shared" si="6"/>
        <v>266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148</v>
      </c>
      <c r="AJ17" s="234" t="str">
        <f>IF(ISNUMBER(Datos!BW17),Datos!BW17," - ")</f>
        <v xml:space="preserve"> - </v>
      </c>
      <c r="AK17" s="235" t="str">
        <f>IF(ISNUMBER(Datos!BX17),Datos!BX17," - ")</f>
        <v xml:space="preserve"> - </v>
      </c>
      <c r="AL17" s="246">
        <f>IF(ISNUMBER(NºAsuntos!G17/NºAsuntos!E17),NºAsuntos!G17/NºAsuntos!E17," - ")</f>
        <v>0.98067287043664997</v>
      </c>
      <c r="AM17" s="263">
        <f>IF(ISNUMBER(((NºAsuntos!I17/NºAsuntos!G17)*11)/factor_trimestre),((NºAsuntos!I17/NºAsuntos!G17)*11)/factor_trimestre," - ")</f>
        <v>2.1277372262773726</v>
      </c>
      <c r="AN17" s="247">
        <f>IF(ISNUMBER('Resol  Asuntos'!D17/NºAsuntos!G17),'Resol  Asuntos'!D17/NºAsuntos!G17," - ")</f>
        <v>0.10802919708029197</v>
      </c>
      <c r="AO17" s="248">
        <f>IF(ISNUMBER((NºAsuntos!C17+NºAsuntos!E17)/NºAsuntos!G17),(NºAsuntos!C17+NºAsuntos!E17)/NºAsuntos!G17," - ")</f>
        <v>1.1861313868613139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4490</v>
      </c>
      <c r="G18" s="869">
        <f>SUBTOTAL(9,G15:G17)</f>
        <v>4592</v>
      </c>
      <c r="H18" s="868">
        <f t="shared" ref="H18:O18" si="10">SUBTOTAL(9,H14:H17)</f>
        <v>0</v>
      </c>
      <c r="I18" s="870">
        <f t="shared" si="10"/>
        <v>0</v>
      </c>
      <c r="J18" s="870">
        <f t="shared" si="10"/>
        <v>0</v>
      </c>
      <c r="K18" s="870">
        <f t="shared" si="10"/>
        <v>0</v>
      </c>
      <c r="L18" s="870">
        <f t="shared" si="10"/>
        <v>576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17157</v>
      </c>
      <c r="X18" s="870">
        <f t="shared" si="11"/>
        <v>704</v>
      </c>
      <c r="Y18" s="871">
        <f t="shared" si="11"/>
        <v>17161</v>
      </c>
      <c r="Z18" s="871">
        <f t="shared" si="11"/>
        <v>0</v>
      </c>
      <c r="AA18" s="871">
        <f t="shared" si="11"/>
        <v>4857</v>
      </c>
      <c r="AB18" s="871">
        <f t="shared" si="11"/>
        <v>676</v>
      </c>
      <c r="AC18" s="871">
        <f t="shared" si="11"/>
        <v>5533</v>
      </c>
      <c r="AD18" s="871">
        <f t="shared" si="11"/>
        <v>0</v>
      </c>
      <c r="AE18" s="875">
        <f t="shared" si="11"/>
        <v>0</v>
      </c>
      <c r="AF18" s="868">
        <f t="shared" si="11"/>
        <v>0</v>
      </c>
      <c r="AG18" s="876">
        <f t="shared" si="11"/>
        <v>0</v>
      </c>
      <c r="AH18" s="873">
        <f t="shared" si="11"/>
        <v>0</v>
      </c>
      <c r="AI18" s="868">
        <f t="shared" si="11"/>
        <v>2098</v>
      </c>
      <c r="AJ18" s="870">
        <f t="shared" si="11"/>
        <v>0</v>
      </c>
      <c r="AK18" s="873">
        <f t="shared" si="11"/>
        <v>0</v>
      </c>
      <c r="AL18" s="877">
        <f>IF(ISNUMBER(NºAsuntos!G18/NºAsuntos!E18),NºAsuntos!G18/NºAsuntos!E18," - ")</f>
        <v>0.9925373134328358</v>
      </c>
      <c r="AM18" s="877">
        <f>IF(ISNUMBER(((NºAsuntos!I18/NºAsuntos!G18)*11)/factor_trimestre),((NºAsuntos!I18/NºAsuntos!G18)*11)/factor_trimestre," - ")</f>
        <v>3.1140059450952964</v>
      </c>
      <c r="AN18" s="878">
        <f>IF(ISNUMBER('Resol  Asuntos'!D18/NºAsuntos!G18),'Resol  Asuntos'!D18/NºAsuntos!G18," - ")</f>
        <v>0.12228245031182608</v>
      </c>
      <c r="AO18" s="879">
        <f>IF(ISNUMBER((NºAsuntos!C18+NºAsuntos!E18)/NºAsuntos!G18),(NºAsuntos!C18+NºAsuntos!E18)/NºAsuntos!G18," - ")</f>
        <v>1.2751646558256104</v>
      </c>
      <c r="AP18" s="880" t="str">
        <f t="shared" si="2"/>
        <v xml:space="preserve"> - </v>
      </c>
      <c r="AQ18" s="880">
        <f>IF(ISNUMBER((H18-W18+K18)/(F18)),(H18-W18+K18)/(F18)," - ")</f>
        <v>-3.8211581291759464</v>
      </c>
      <c r="AR18" s="881">
        <f>IF(ISNUMBER((Datos!P18-Datos!Q18)/(Datos!R18-Datos!P18+Datos!Q18)),(Datos!P18-Datos!Q18)/(Datos!R18-Datos!P18+Datos!Q18)," - ")</f>
        <v>-0.15920398009950248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4544</v>
      </c>
      <c r="G19" s="824">
        <f t="shared" si="13"/>
        <v>4646</v>
      </c>
      <c r="H19" s="823">
        <f t="shared" si="13"/>
        <v>0</v>
      </c>
      <c r="I19" s="825">
        <f t="shared" si="13"/>
        <v>0</v>
      </c>
      <c r="J19" s="825">
        <f t="shared" si="13"/>
        <v>0</v>
      </c>
      <c r="K19" s="884">
        <f t="shared" si="13"/>
        <v>0</v>
      </c>
      <c r="L19" s="825">
        <f t="shared" si="13"/>
        <v>2404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17284</v>
      </c>
      <c r="X19" s="824">
        <f t="shared" si="14"/>
        <v>3063</v>
      </c>
      <c r="Y19" s="831">
        <f t="shared" si="14"/>
        <v>19647</v>
      </c>
      <c r="Z19" s="831">
        <f t="shared" si="14"/>
        <v>0</v>
      </c>
      <c r="AA19" s="831">
        <f t="shared" si="14"/>
        <v>4934</v>
      </c>
      <c r="AB19" s="831">
        <f t="shared" si="14"/>
        <v>5118</v>
      </c>
      <c r="AC19" s="831">
        <f t="shared" si="14"/>
        <v>5681</v>
      </c>
      <c r="AD19" s="831">
        <f t="shared" si="14"/>
        <v>0</v>
      </c>
      <c r="AE19" s="833">
        <f t="shared" si="14"/>
        <v>0</v>
      </c>
      <c r="AF19" s="834">
        <f t="shared" si="14"/>
        <v>0</v>
      </c>
      <c r="AG19" s="835">
        <f t="shared" si="14"/>
        <v>0</v>
      </c>
      <c r="AH19" s="833">
        <f t="shared" si="14"/>
        <v>0</v>
      </c>
      <c r="AI19" s="823">
        <f t="shared" si="14"/>
        <v>6029</v>
      </c>
      <c r="AJ19" s="823">
        <f t="shared" si="14"/>
        <v>0</v>
      </c>
      <c r="AK19" s="833">
        <f t="shared" si="14"/>
        <v>0</v>
      </c>
      <c r="AL19" s="887">
        <f>IF(ISNUMBER(NºAsuntos!G19/NºAsuntos!E19),NºAsuntos!G19/NºAsuntos!E19," - ")</f>
        <v>0.91106888361045135</v>
      </c>
      <c r="AM19" s="888">
        <f>IF(ISNUMBER(((NºAsuntos!I19/NºAsuntos!G19)*11)/factor_trimestre),((NºAsuntos!I19/NºAsuntos!G19)*11)/factor_trimestre," - ")</f>
        <v>5.206138978690861</v>
      </c>
      <c r="AN19" s="888">
        <f>IF(ISNUMBER('Resol  Asuntos'!D19/NºAsuntos!G19),'Resol  Asuntos'!D19/NºAsuntos!G19," - ")</f>
        <v>0.20958042201133242</v>
      </c>
      <c r="AO19" s="889">
        <f>IF(ISNUMBER((NºAsuntos!C19+NºAsuntos!E19)/NºAsuntos!G19),(NºAsuntos!C19+NºAsuntos!E19)/NºAsuntos!G19," - ")</f>
        <v>1.5251503458824347</v>
      </c>
      <c r="AP19" s="890" t="str">
        <f t="shared" si="2"/>
        <v xml:space="preserve"> - </v>
      </c>
      <c r="AQ19" s="891">
        <f>IF(OR(ISNUMBER(FIND("01",Criterios!A8,1)),ISNUMBER(FIND("02",Criterios!A8,1)),ISNUMBER(FIND("03",Criterios!A8,1)),ISNUMBER(FIND("04",Criterios!A8,1))),(I19-W19+K19)/(F19-K19),(H19-W19+K19)/(F19-K19))</f>
        <v>-3.8036971830985915</v>
      </c>
      <c r="AR19" s="892">
        <f>IF(ISNUMBER((Datos!P19-Datos!Q19)/(Datos!R19-Datos!P19+Datos!Q19)),(Datos!P19-Datos!Q19)/(Datos!R19-Datos!P19+Datos!Q19)," - ")</f>
        <v>-0.11407304829496279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3.2403703492039302</v>
      </c>
      <c r="F21" s="255">
        <f>IF(ISNUMBER(STDEV(F8:F18)),STDEV(F8:F18),"-")</f>
        <v>2561.1257941251797</v>
      </c>
      <c r="G21" s="256">
        <f>IF(ISNUMBER(STDEV(G8:G18)),STDEV(G8:G18),"-")</f>
        <v>2393.7691618032009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8753.739932166136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1543.9352163808403</v>
      </c>
      <c r="AJ21" s="255">
        <f t="shared" si="18"/>
        <v>0</v>
      </c>
      <c r="AK21" s="257">
        <f t="shared" si="18"/>
        <v>0</v>
      </c>
      <c r="AL21" s="252">
        <f t="shared" si="18"/>
        <v>0.11005047445054371</v>
      </c>
      <c r="AM21" s="253">
        <f t="shared" si="18"/>
        <v>3.2556292165958141</v>
      </c>
      <c r="AN21" s="253">
        <f t="shared" si="18"/>
        <v>0.1659445252119203</v>
      </c>
      <c r="AO21" s="254">
        <f t="shared" si="18"/>
        <v>0.37101074909137627</v>
      </c>
      <c r="AP21" s="294" t="str">
        <f t="shared" si="18"/>
        <v>-</v>
      </c>
      <c r="AQ21" s="295">
        <f t="shared" si="18"/>
        <v>1.0389564323358298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l8CDhCFR87LtaCCbZ91JDf+7e/NNPJtLXppYlZSInOhxvh/D2a3a0YqSlbPtjInxPy3cDU7KY1FVKPr97l1ag==" saltValue="cAD10gBAEq7d4cjD/64l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DONOSTIA-SAN SEBASTIAN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-0.10040485829959514</v>
      </c>
      <c r="I9" s="353">
        <f>IF(ISNUMBER((Tasas!C9-Datos!BE9)/Datos!BE9),(Tasas!C9-Datos!BE9)/Datos!BE9," - ")</f>
        <v>0.28186584202310089</v>
      </c>
      <c r="J9" s="352">
        <f>IF(ISNUMBER((Tasas!D9-Datos!BF9)/Datos!BF9),(Tasas!D9-Datos!BF9)/Datos!BF9," - ")</f>
        <v>0.73704152243952936</v>
      </c>
      <c r="K9" s="354">
        <f>IF(ISNUMBER((Tasas!E9-Datos!BG9)/Datos!BG9),(Tasas!E9-Datos!BG9)/Datos!BG9," - ")</f>
        <v>0.22390267918643031</v>
      </c>
      <c r="M9" t="e">
        <f>IF(Monitorios="SI",Datos!CE9,0)</f>
        <v>#REF!</v>
      </c>
      <c r="N9" t="e">
        <f>IF(Monitorios="SI",Datos!CF9,0)</f>
        <v>#REF!</v>
      </c>
      <c r="O9" t="e">
        <f>IF(Monitorios="SI",Datos!CG9,0)</f>
        <v>#REF!</v>
      </c>
      <c r="P9" t="e">
        <f>IF(Monitorios="SI",Datos!CH9,0)</f>
        <v>#REF!</v>
      </c>
      <c r="Q9">
        <f>IF(J_V="SI",0,Datos!AG9)</f>
        <v>89</v>
      </c>
      <c r="R9">
        <f>IF(J_V="SI",0,Datos!AH9)</f>
        <v>456</v>
      </c>
      <c r="S9">
        <f>IF(J_V="SI",0,Datos!AI9)</f>
        <v>457</v>
      </c>
      <c r="T9">
        <f>IF(J_V="SI",0,Datos!AJ9)</f>
        <v>88</v>
      </c>
    </row>
    <row r="10" spans="2:20" ht="14.25">
      <c r="B10" s="278" t="s">
        <v>246</v>
      </c>
      <c r="C10" s="7" t="str">
        <f>Datos!A10</f>
        <v>Jdos. Violencia contra la mujer</v>
      </c>
      <c r="D10" s="355">
        <f>IF(ISNUMBER((Datos!I10-Datos!S10)/Datos!S10),(Datos!I10-Datos!S10)/Datos!S10," - ")</f>
        <v>-0.3493975903614458</v>
      </c>
      <c r="E10" s="351">
        <f>IF(ISNUMBER((Datos!J10-Datos!T10)/Datos!T10),(Datos!J10-Datos!T10)/Datos!T10," - ")</f>
        <v>0.21951219512195122</v>
      </c>
      <c r="F10" s="351">
        <f>IF(ISNUMBER((Datos!K10-Datos!U10)/Datos!U10),(Datos!K10-Datos!U10)/Datos!U10," - ")</f>
        <v>-3.0534351145038167E-2</v>
      </c>
      <c r="G10" s="352">
        <f>IF(ISNUMBER((Datos!L10-Datos!V10)/Datos!V10),(Datos!L10-Datos!V10)/Datos!V10," - ")</f>
        <v>0.42592592592592593</v>
      </c>
      <c r="H10" s="233">
        <f>IF(ISNUMBER((Datos!M10-Datos!W10)/Datos!W10),(Datos!M10-Datos!W10)/Datos!W10," - ")</f>
        <v>4.6153846153846156E-2</v>
      </c>
      <c r="I10" s="353">
        <f>IF(ISNUMBER((Tasas!C10-Datos!BE10)/Datos!BE10),(Tasas!C10-Datos!BE10)/Datos!BE10," - ")</f>
        <v>0.47083697871099445</v>
      </c>
      <c r="J10" s="352">
        <f>IF(ISNUMBER((Tasas!D10-Datos!BF10)/Datos!BF10),(Tasas!D10-Datos!BF10)/Datos!BF10," - ")</f>
        <v>7.9103573591762677E-2</v>
      </c>
      <c r="K10" s="354">
        <f>IF(ISNUMBER((Tasas!E10-Datos!BG10)/Datos!BG10),(Tasas!E10-Datos!BG10)/Datos!BG10," - ")</f>
        <v>2.1481538108707336E-2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-0.15873015873015872</v>
      </c>
      <c r="I11" s="353">
        <f>IF(ISNUMBER((Tasas!C11-Datos!BE11)/Datos!BE11),(Tasas!C11-Datos!BE11)/Datos!BE11," - ")</f>
        <v>-0.18692573488197187</v>
      </c>
      <c r="J11" s="352">
        <f>IF(ISNUMBER((Tasas!D11-Datos!BF11)/Datos!BF11),(Tasas!D11-Datos!BF11)/Datos!BF11," - ")</f>
        <v>-0.67916869703256788</v>
      </c>
      <c r="K11" s="354">
        <f>IF(ISNUMBER((Tasas!E11-Datos!BG11)/Datos!BG11),(Tasas!E11-Datos!BG11)/Datos!BG11," - ")</f>
        <v>-3.4047887193714182E-2</v>
      </c>
      <c r="M11" t="e">
        <f>IF(Monitorios="SI",Datos!CE11,0)</f>
        <v>#REF!</v>
      </c>
      <c r="N11" t="e">
        <f>IF(Monitorios="SI",Datos!CF11,0)</f>
        <v>#REF!</v>
      </c>
      <c r="O11" t="e">
        <f>IF(Monitorios="SI",Datos!CG11,0)</f>
        <v>#REF!</v>
      </c>
      <c r="P11" t="e">
        <f>IF(Monitorios="SI",Datos!CH11,0)</f>
        <v>#REF!</v>
      </c>
      <c r="Q11">
        <f>IF(J_V="SI",0,Datos!AG11)</f>
        <v>165</v>
      </c>
      <c r="R11">
        <f>IF(J_V="SI",0,Datos!AH11)</f>
        <v>1466</v>
      </c>
      <c r="S11">
        <f>IF(J_V="SI",0,Datos!AI11)</f>
        <v>1570</v>
      </c>
      <c r="T11">
        <f>IF(J_V="SI",0,Datos!AJ11)</f>
        <v>41</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-0.1065909090909091</v>
      </c>
      <c r="I13" s="360">
        <f>IF(ISNUMBER((Tasas!C13-Datos!BE13)/Datos!BE13),(Tasas!C13-Datos!BE13)/Datos!BE13," - ")</f>
        <v>0.21555325108543114</v>
      </c>
      <c r="J13" s="358">
        <f>IF(ISNUMBER((Tasas!D13-Datos!BF13)/Datos!BF13),(Tasas!D13-Datos!BF13)/Datos!BF13," - ")</f>
        <v>0.10336321871657171</v>
      </c>
      <c r="K13" s="361">
        <f>IF(ISNUMBER((Tasas!E13-Datos!BG13)/Datos!BG13),(Tasas!E13-Datos!BG13)/Datos!BG13," - ")</f>
        <v>0.16513370691885598</v>
      </c>
      <c r="M13" t="e">
        <f>IF(Monitorios="SI",Datos!CE13,0)</f>
        <v>#REF!</v>
      </c>
      <c r="N13" t="e">
        <f>IF(Monitorios="SI",Datos!CF13,0)</f>
        <v>#REF!</v>
      </c>
      <c r="O13" t="e">
        <f>IF(Monitorios="SI",Datos!CG13,0)</f>
        <v>#REF!</v>
      </c>
      <c r="P13" t="e">
        <f>IF(Monitorios="SI",Datos!CH13,0)</f>
        <v>#REF!</v>
      </c>
      <c r="Q13">
        <f>IF(J_V="SI",0,Datos!AG13)</f>
        <v>254</v>
      </c>
      <c r="R13">
        <f>IF(J_V="SI",0,Datos!AH13)</f>
        <v>1922</v>
      </c>
      <c r="S13">
        <f>IF(J_V="SI",0,Datos!AI13)</f>
        <v>2027</v>
      </c>
      <c r="T13">
        <f>IF(J_V="SI",0,Datos!AJ13)</f>
        <v>129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0.17882225823878983</v>
      </c>
      <c r="E15" s="351">
        <f>IF(ISNUMBER(
   IF(D_I="SI",(Datos!J15-Datos!T15)/Datos!T15,(Datos!J15+Datos!AD15-(Datos!T15+Datos!AL15))/(Datos!T15+Datos!AL15))
     ),IF(D_I="SI",(Datos!J15-Datos!T15)/Datos!T15,(Datos!J15+Datos!AD15-(Datos!T15+Datos!AL15))/(Datos!T15+Datos!AL15))," - ")</f>
        <v>2.8414239482200648E-2</v>
      </c>
      <c r="F15" s="351">
        <f>IF(ISNUMBER(
   IF(D_I="SI",(Datos!K15-Datos!U15)/Datos!U15,(Datos!K15+Datos!AE15-(Datos!U15+Datos!AM15))/(Datos!U15+Datos!AM15))
     ),IF(D_I="SI",(Datos!K15-Datos!U15)/Datos!U15,(Datos!K15+Datos!AE15-(Datos!U15+Datos!AM15))/(Datos!U15+Datos!AM15))," - ")</f>
        <v>4.9667553191489362E-2</v>
      </c>
      <c r="G15" s="352">
        <f>IF(ISNUMBER(
   IF(D_I="SI",(Datos!L15-Datos!V15)/Datos!V15,(Datos!L15+Datos!AF15-(Datos!V15+Datos!AN15))/(Datos!V15+Datos!AN15))
     ),IF(D_I="SI",(Datos!L15-Datos!V15)/Datos!V15,(Datos!L15+Datos!AF15-(Datos!V15+Datos!AN15))/(Datos!V15+Datos!AN15))," - ")</f>
        <v>5.2245646196150318E-2</v>
      </c>
      <c r="H15" s="233">
        <f>IF(ISNUMBER((Datos!M15-Datos!W15)/Datos!W15),(Datos!M15-Datos!W15)/Datos!W15," - ")</f>
        <v>3.8338658146964855E-2</v>
      </c>
      <c r="I15" s="353">
        <f>IF(ISNUMBER((Tasas!C15-Datos!BE15)/Datos!BE15),(Tasas!C15-Datos!BE15)/Datos!BE15," - ")</f>
        <v>2.4561043130487876E-3</v>
      </c>
      <c r="J15" s="352">
        <f>IF(ISNUMBER((Tasas!D15-Datos!BF15)/Datos!BF15),(Tasas!D15-Datos!BF15)/Datos!BF15," - ")</f>
        <v>-1.0792841038173729E-2</v>
      </c>
      <c r="K15" s="354">
        <f>IF(ISNUMBER((Tasas!E15-Datos!BG15)/Datos!BG15),(Tasas!E15-Datos!BG15)/Datos!BG15," - ")</f>
        <v>7.449897309308672E-3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-0.109375</v>
      </c>
      <c r="E17" s="351">
        <f>IF(ISNUMBER(
   IF(D_I="SI",(Datos!J17-Datos!T17)/Datos!T17,(Datos!J17+Datos!AD17-(Datos!T17+Datos!AL17))/(Datos!T17+Datos!AL17))
     ),IF(D_I="SI",(Datos!J17-Datos!T17)/Datos!T17,(Datos!J17+Datos!AD17-(Datos!T17+Datos!AL17))/(Datos!T17+Datos!AL17))," - ")</f>
        <v>0.10785091197462332</v>
      </c>
      <c r="F17" s="351">
        <f>IF(ISNUMBER(
   IF(D_I="SI",(Datos!K17-Datos!U17)/Datos!U17,(Datos!K17+Datos!AE17-(Datos!U17+Datos!AM17))/(Datos!U17+Datos!AM17))
     ),IF(D_I="SI",(Datos!K17-Datos!U17)/Datos!U17,(Datos!K17+Datos!AE17-(Datos!U17+Datos!AM17))/(Datos!U17+Datos!AM17))," - ")</f>
        <v>2.0864381520119227E-2</v>
      </c>
      <c r="G17" s="352">
        <f>IF(ISNUMBER(
   IF(D_I="SI",(Datos!L17-Datos!V17)/Datos!V17,(Datos!L17+Datos!AF17-(Datos!V17+Datos!AN17))/(Datos!V17+Datos!AN17))
     ),IF(D_I="SI",(Datos!L17-Datos!V17)/Datos!V17,(Datos!L17+Datos!AF17-(Datos!V17+Datos!AN17))/(Datos!V17+Datos!AN17))," - ")</f>
        <v>0.16228070175438597</v>
      </c>
      <c r="H17" s="233">
        <f>IF(ISNUMBER((Datos!M17-Datos!W17)/Datos!W17),(Datos!M17-Datos!W17)/Datos!W17," - ")</f>
        <v>0.21311475409836064</v>
      </c>
      <c r="I17" s="353">
        <f>IF(ISNUMBER((Tasas!C17-Datos!BE17)/Datos!BE17),(Tasas!C17-Datos!BE17)/Datos!BE17," - ")</f>
        <v>0.13852605967473428</v>
      </c>
      <c r="J17" s="352">
        <f>IF(ISNUMBER((Tasas!D17-Datos!BF17)/Datos!BF17),(Tasas!D17-Datos!BF17)/Datos!BF17," - ")</f>
        <v>0.18832116788321168</v>
      </c>
      <c r="K17" s="354">
        <f>IF(ISNUMBER((Tasas!E17-Datos!BG17)/Datos!BG17),(Tasas!E17-Datos!BG17)/Datos!BG17," - ")</f>
        <v>4.9300145792935589E-2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0.16018191005558363</v>
      </c>
      <c r="E18" s="357">
        <f>IF(ISNUMBER(
   IF(D_I="SI",(Datos!J18-Datos!T18)/Datos!T18,(Datos!J18+Datos!AD18-(Datos!T18+Datos!AL18))/(Datos!T18+Datos!AL18))
     ),IF(D_I="SI",(Datos!J18-Datos!T18)/Datos!T18,(Datos!J18+Datos!AD18-(Datos!T18+Datos!AL18))/(Datos!T18+Datos!AL18))," - ")</f>
        <v>3.4408473460594821E-2</v>
      </c>
      <c r="F18" s="357">
        <f>IF(ISNUMBER(
   IF(D_I="SI",(Datos!K18-Datos!U18)/Datos!U18,(Datos!K18+Datos!AE18-(Datos!U18+Datos!AM18))/(Datos!U18+Datos!AM18))
     ),IF(D_I="SI",(Datos!K18-Datos!U18)/Datos!U18,(Datos!K18+Datos!AE18-(Datos!U18+Datos!AM18))/(Datos!U18+Datos!AM18))," - ")</f>
        <v>4.7308020998657066E-2</v>
      </c>
      <c r="G18" s="358">
        <f>IF(ISNUMBER(
   IF(D_I="SI",(Datos!L18-Datos!V18)/Datos!V18,(Datos!L18+Datos!AF18-(Datos!V18+Datos!AN18))/(Datos!V18+Datos!AN18))
     ),IF(D_I="SI",(Datos!L18-Datos!V18)/Datos!V18,(Datos!L18+Datos!AF18-(Datos!V18+Datos!AN18))/(Datos!V18+Datos!AN18))," - ")</f>
        <v>5.7709059233449475E-2</v>
      </c>
      <c r="H18" s="359">
        <f>IF(ISNUMBER((Datos!M18-Datos!W18)/Datos!W18),(Datos!M18-Datos!W18)/Datos!W18," - ")</f>
        <v>4.9000000000000002E-2</v>
      </c>
      <c r="I18" s="360">
        <f>IF(ISNUMBER((Tasas!C18-Datos!BE18)/Datos!BE18),(Tasas!C18-Datos!BE18)/Datos!BE18," - ")</f>
        <v>9.931212237708811E-3</v>
      </c>
      <c r="J18" s="358">
        <f>IF(ISNUMBER((Tasas!D18-Datos!BF18)/Datos!BF18),(Tasas!D18-Datos!BF18)/Datos!BF18," - ")</f>
        <v>1.6155505041674136E-3</v>
      </c>
      <c r="K18" s="361">
        <f>IF(ISNUMBER((Tasas!E18-Datos!BG18)/Datos!BG18),(Tasas!E18-Datos!BG18)/Datos!BG18," - ")</f>
        <v>1.0680119586586169E-2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0.14388020833333334</v>
      </c>
      <c r="E19" s="366">
        <f>IF(ISNUMBER(
   IF(J_V="SI",(Datos!J19-Datos!T19)/Datos!T19,(Datos!J19+Datos!Z19-(Datos!T19+Datos!AH19))/(Datos!T19+Datos!AH19))
     ),IF(J_V="SI",(Datos!J19-Datos!T19)/Datos!T19,(Datos!J19+Datos!Z19-(Datos!T19+Datos!AH19))/(Datos!T19+Datos!AH19))," - ")</f>
        <v>4.862010560924579E-2</v>
      </c>
      <c r="F19" s="366">
        <f>IF(ISNUMBER(
   IF(J_V="SI",(Datos!K19-Datos!U19)/Datos!U19,(Datos!K19+Datos!AA19-(Datos!U19+Datos!AI19))/(Datos!U19+Datos!AI19))
     ),IF(J_V="SI",(Datos!K19-Datos!U19)/Datos!U19,(Datos!K19+Datos!AA19-(Datos!U19+Datos!AI19))/(Datos!U19+Datos!AI19))," - ")</f>
        <v>-1.1805145654664769E-3</v>
      </c>
      <c r="G19" s="367">
        <f>IF(ISNUMBER(
   IF(J_V="SI",(Datos!L19-Datos!V19)/Datos!V19,(Datos!L19+Datos!AB19-(Datos!V19+Datos!AJ19))/(Datos!V19+Datos!AJ19))
     ),IF(J_V="SI",(Datos!L19-Datos!V19)/Datos!V19,(Datos!L19+Datos!AB19-(Datos!V19+Datos!AJ19))/(Datos!V19+Datos!AJ19))," - ")</f>
        <v>0.10700056915196357</v>
      </c>
      <c r="H19" s="368">
        <f>IF(ISNUMBER((Datos!M19-Datos!W19)/Datos!W19),(Datos!M19-Datos!W19)/Datos!W19," - ")</f>
        <v>-5.7968749999999999E-2</v>
      </c>
      <c r="I19" s="365">
        <f>IF(ISNUMBER((Tasas!C19-Datos!BE19)/Datos!BE19),(Tasas!C19-Datos!BE19)/Datos!BE19," - ")</f>
        <v>0.10830894400339637</v>
      </c>
      <c r="J19" s="366">
        <f>IF(ISNUMBER((Tasas!D19-Datos!BF19)/Datos!BF19),(Tasas!D19-Datos!BF19)/Datos!BF19," - ")</f>
        <v>3.8741306891823306E-2</v>
      </c>
      <c r="K19" s="367">
        <f>IF(ISNUMBER((Tasas!E19-Datos!BG19)/Datos!BG19),(Tasas!E19-Datos!BG19)/Datos!BG19," - ")</f>
        <v>7.4954240064606104E-2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0.2503937515161212</v>
      </c>
      <c r="E21" s="281">
        <f t="shared" si="1"/>
        <v>8.8970953185682905E-2</v>
      </c>
      <c r="F21" s="281">
        <f t="shared" si="1"/>
        <v>3.7269364361717704E-2</v>
      </c>
      <c r="G21" s="282">
        <f t="shared" si="1"/>
        <v>0.17507193934624338</v>
      </c>
      <c r="H21" s="288">
        <f t="shared" si="1"/>
        <v>0.12780501539630917</v>
      </c>
      <c r="I21" s="280">
        <f t="shared" si="1"/>
        <v>0.21512799670338309</v>
      </c>
      <c r="J21" s="281">
        <f t="shared" si="1"/>
        <v>0.41470623243900945</v>
      </c>
      <c r="K21" s="282">
        <f t="shared" si="1"/>
        <v>9.4404016114786632E-2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3A4BtPZMITT+yYH9jHTd3tccZUIJJF1pqdQcw80oEWmr/0KfCtI689tAVmTKogdrgGbAwQEajZ1UFvH8yRjOw==" saltValue="cx2Jw5QztV0EBxNPE7p2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